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"/>
    </mc:Choice>
  </mc:AlternateContent>
  <xr:revisionPtr revIDLastSave="177" documentId="8_{C6221683-9C52-443C-BFDB-428B99A573D6}" xr6:coauthVersionLast="47" xr6:coauthVersionMax="47" xr10:uidLastSave="{30CF1D07-4517-46B9-8B44-C13B57B0CA31}"/>
  <bookViews>
    <workbookView xWindow="-120" yWindow="-120" windowWidth="25440" windowHeight="15390" xr2:uid="{87FEB192-55AC-4A5C-9B03-590FA7E722DB}"/>
  </bookViews>
  <sheets>
    <sheet name="Úvod" sheetId="4" r:id="rId1"/>
    <sheet name="FV" sheetId="1" r:id="rId2"/>
    <sheet name="FV - úlohy, povinné argumenty" sheetId="5" r:id="rId3"/>
    <sheet name="FV - úlohy, nepovinné argumenty" sheetId="6" r:id="rId4"/>
    <sheet name="Eulerovo číslo" sheetId="11" r:id="rId5"/>
    <sheet name="Rate" sheetId="8" r:id="rId6"/>
    <sheet name="Rate - Príklady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4" i="11" l="1" a="1"/>
  <c r="L44" i="11" s="1"/>
  <c r="C44" i="11" a="1"/>
  <c r="C44" i="11" s="1"/>
  <c r="G44" i="11" s="1" a="1"/>
  <c r="G44" i="11" s="1"/>
  <c r="B37" i="11"/>
  <c r="C36" i="11"/>
  <c r="C38" i="11" s="1"/>
  <c r="B32" i="11"/>
  <c r="C31" i="11" s="1"/>
  <c r="C33" i="11" s="1"/>
  <c r="C26" i="11"/>
  <c r="C28" i="11" s="1"/>
  <c r="C21" i="11"/>
  <c r="C23" i="11" s="1"/>
  <c r="C16" i="11"/>
  <c r="C18" i="11" s="1"/>
  <c r="C11" i="11"/>
  <c r="C13" i="11" s="1"/>
  <c r="C8" i="11"/>
  <c r="J40" i="11"/>
  <c r="L19" i="10"/>
  <c r="J19" i="10"/>
  <c r="L18" i="10"/>
  <c r="J18" i="10"/>
  <c r="J13" i="10"/>
  <c r="L13" i="10"/>
  <c r="L12" i="10"/>
  <c r="L11" i="10"/>
  <c r="L10" i="10"/>
  <c r="L9" i="10"/>
  <c r="L8" i="10"/>
  <c r="L7" i="10"/>
  <c r="C13" i="5"/>
  <c r="C12" i="5"/>
  <c r="C11" i="5"/>
  <c r="C10" i="5"/>
  <c r="C9" i="5"/>
  <c r="C8" i="5"/>
  <c r="C7" i="5"/>
  <c r="J11" i="10"/>
  <c r="J10" i="10"/>
  <c r="J12" i="10"/>
  <c r="J9" i="10"/>
  <c r="J8" i="10"/>
  <c r="J7" i="10"/>
  <c r="D9" i="8"/>
  <c r="F20" i="8"/>
  <c r="E54" i="8"/>
  <c r="I54" i="8" s="1"/>
  <c r="E46" i="8"/>
  <c r="I46" i="8" s="1"/>
  <c r="O30" i="8"/>
  <c r="O29" i="8"/>
  <c r="C30" i="8"/>
  <c r="C29" i="8"/>
  <c r="E38" i="11"/>
  <c r="F29" i="8"/>
  <c r="R30" i="8"/>
  <c r="E8" i="11"/>
  <c r="K10" i="10"/>
  <c r="E47" i="8"/>
  <c r="K40" i="11"/>
  <c r="E33" i="11"/>
  <c r="K11" i="10"/>
  <c r="E28" i="11"/>
  <c r="K9" i="10"/>
  <c r="F30" i="8"/>
  <c r="K12" i="10"/>
  <c r="E55" i="8"/>
  <c r="K8" i="10"/>
  <c r="K13" i="10"/>
  <c r="R29" i="8"/>
  <c r="K18" i="10"/>
  <c r="F21" i="8"/>
  <c r="K7" i="10"/>
  <c r="E18" i="11"/>
  <c r="E23" i="11"/>
  <c r="I55" i="8"/>
  <c r="I47" i="8"/>
  <c r="E13" i="11"/>
  <c r="K19" i="10"/>
  <c r="J44" i="11" l="1" a="1"/>
  <c r="J44" i="11" s="1"/>
  <c r="I20" i="8"/>
  <c r="B39" i="6"/>
  <c r="F9" i="8"/>
  <c r="I21" i="8"/>
  <c r="F69" i="6" l="1"/>
  <c r="B6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9" i="6"/>
  <c r="C9" i="6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C39" i="6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9" i="6"/>
  <c r="F13" i="5"/>
  <c r="H13" i="5"/>
  <c r="L50" i="1"/>
  <c r="H50" i="1"/>
  <c r="N49" i="1"/>
  <c r="L49" i="1"/>
  <c r="J49" i="1"/>
  <c r="F8" i="5"/>
  <c r="F9" i="5"/>
  <c r="F10" i="5"/>
  <c r="F11" i="5"/>
  <c r="F12" i="5"/>
  <c r="F7" i="5"/>
  <c r="H8" i="5"/>
  <c r="H9" i="5"/>
  <c r="H10" i="5"/>
  <c r="H11" i="5"/>
  <c r="H12" i="5"/>
  <c r="H7" i="5"/>
  <c r="N43" i="1"/>
  <c r="N44" i="1"/>
  <c r="N45" i="1"/>
  <c r="N46" i="1"/>
  <c r="N47" i="1"/>
  <c r="N48" i="1"/>
  <c r="N50" i="1"/>
  <c r="N42" i="1"/>
  <c r="J43" i="1"/>
  <c r="J44" i="1"/>
  <c r="J45" i="1"/>
  <c r="J46" i="1"/>
  <c r="J47" i="1"/>
  <c r="J48" i="1"/>
  <c r="J50" i="1"/>
  <c r="J42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L43" i="1"/>
  <c r="L44" i="1"/>
  <c r="L45" i="1"/>
  <c r="L46" i="1"/>
  <c r="L47" i="1"/>
  <c r="L48" i="1"/>
  <c r="L42" i="1"/>
  <c r="O19" i="1"/>
  <c r="O20" i="1"/>
  <c r="O21" i="1"/>
  <c r="O22" i="1"/>
  <c r="O23" i="1"/>
  <c r="O24" i="1"/>
  <c r="O25" i="1"/>
  <c r="O26" i="1"/>
  <c r="O27" i="1"/>
  <c r="O28" i="1"/>
  <c r="O29" i="1"/>
  <c r="O30" i="1"/>
  <c r="O18" i="1"/>
  <c r="C63" i="1"/>
  <c r="C62" i="1"/>
  <c r="D9" i="1"/>
  <c r="J7" i="5"/>
  <c r="J13" i="5"/>
  <c r="F70" i="6"/>
  <c r="D63" i="1"/>
  <c r="J10" i="5"/>
  <c r="F9" i="1"/>
  <c r="B70" i="6"/>
  <c r="J11" i="5"/>
  <c r="J9" i="5"/>
  <c r="D62" i="1"/>
  <c r="J8" i="5"/>
  <c r="I11" i="5" l="1"/>
  <c r="I13" i="5"/>
  <c r="I12" i="5"/>
  <c r="I10" i="5"/>
  <c r="I8" i="5"/>
  <c r="I9" i="5"/>
  <c r="I7" i="5"/>
  <c r="J1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Adamko</author>
  </authors>
  <commentList>
    <comment ref="M18" authorId="0" shapeId="0" xr:uid="{D4FF220A-A3E3-441C-8C66-1339DE256ABB}">
      <text>
        <r>
          <rPr>
            <b/>
            <sz val="9"/>
            <color indexed="81"/>
            <rFont val="Segoe UI"/>
            <family val="2"/>
            <charset val="238"/>
          </rPr>
          <t>Peter Adamko:</t>
        </r>
        <r>
          <rPr>
            <sz val="9"/>
            <color indexed="81"/>
            <rFont val="Segoe UI"/>
            <family val="2"/>
            <charset val="238"/>
          </rPr>
          <t xml:space="preserve">
/1 písať netreba.
Len som chcel aby vynikol systém.
Dá sa napísať aj ako 3%/1</t>
        </r>
      </text>
    </comment>
    <comment ref="L50" authorId="0" shapeId="0" xr:uid="{87229E92-D56D-40F2-97DF-11CD22D41E41}">
      <text>
        <r>
          <rPr>
            <b/>
            <sz val="9"/>
            <color indexed="81"/>
            <rFont val="Segoe UI"/>
            <family val="2"/>
            <charset val="238"/>
          </rPr>
          <t>Peter Adamko:</t>
        </r>
        <r>
          <rPr>
            <sz val="9"/>
            <color indexed="81"/>
            <rFont val="Segoe UI"/>
            <family val="2"/>
            <charset val="238"/>
          </rPr>
          <t xml:space="preserve">
V tomto prípade je optimálny zápis 48 / 6.
Ale nie vždy musí byť v čitateli 1.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<sst xmlns="http://schemas.openxmlformats.org/spreadsheetml/2006/main" count="321" uniqueCount="194">
  <si>
    <t>Funkcia FV - (Future value, Budúca hodnota)</t>
  </si>
  <si>
    <t>sadzba</t>
  </si>
  <si>
    <t>počet období</t>
  </si>
  <si>
    <t>Povinné
argumenty:</t>
  </si>
  <si>
    <t>platba</t>
  </si>
  <si>
    <t>FV</t>
  </si>
  <si>
    <t>man</t>
  </si>
  <si>
    <t>mat</t>
  </si>
  <si>
    <t>Nepovinné
argumenty:</t>
  </si>
  <si>
    <t>Súčasná hodnota</t>
  </si>
  <si>
    <t>Typ</t>
  </si>
  <si>
    <t>Príklad na rozbehnutie:</t>
  </si>
  <si>
    <t>Výška platby.</t>
  </si>
  <si>
    <t>ročne</t>
  </si>
  <si>
    <t>polročne</t>
  </si>
  <si>
    <t>štvrťročne</t>
  </si>
  <si>
    <t>mesačne</t>
  </si>
  <si>
    <t>štvormesačná</t>
  </si>
  <si>
    <t>denne</t>
  </si>
  <si>
    <t>desaťdenná</t>
  </si>
  <si>
    <t>každých 5 dní</t>
  </si>
  <si>
    <t>Po piatich rokoch budeme mať:</t>
  </si>
  <si>
    <r>
      <t xml:space="preserve">Pri </t>
    </r>
    <r>
      <rPr>
        <b/>
        <u/>
        <sz val="12"/>
        <color theme="1"/>
        <rFont val="Calibri"/>
        <family val="2"/>
        <charset val="238"/>
        <scheme val="minor"/>
      </rPr>
      <t>ročnej</t>
    </r>
    <r>
      <rPr>
        <sz val="11"/>
        <color theme="1"/>
        <rFont val="Calibri"/>
        <family val="2"/>
        <charset val="238"/>
        <scheme val="minor"/>
      </rPr>
      <t xml:space="preserve"> úrokovej sadzbe </t>
    </r>
    <r>
      <rPr>
        <b/>
        <u/>
        <sz val="12"/>
        <color theme="1"/>
        <rFont val="Calibri"/>
        <family val="2"/>
        <charset val="238"/>
        <scheme val="minor"/>
      </rPr>
      <t>3%</t>
    </r>
    <r>
      <rPr>
        <sz val="11"/>
        <color theme="1"/>
        <rFont val="Calibri"/>
        <family val="2"/>
        <charset val="238"/>
        <scheme val="minor"/>
      </rPr>
      <t xml:space="preserve">, chceme </t>
    </r>
    <r>
      <rPr>
        <b/>
        <u/>
        <sz val="12"/>
        <color theme="1"/>
        <rFont val="Calibri"/>
        <family val="2"/>
        <charset val="238"/>
        <scheme val="minor"/>
      </rPr>
      <t>5 rokov</t>
    </r>
    <r>
      <rPr>
        <sz val="11"/>
        <color theme="1"/>
        <rFont val="Calibri"/>
        <family val="2"/>
        <charset val="238"/>
        <scheme val="minor"/>
      </rPr>
      <t xml:space="preserve"> šetriť po </t>
    </r>
    <r>
      <rPr>
        <b/>
        <u/>
        <sz val="12"/>
        <color theme="1"/>
        <rFont val="Calibri"/>
        <family val="2"/>
        <charset val="238"/>
        <scheme val="minor"/>
      </rPr>
      <t>100</t>
    </r>
    <r>
      <rPr>
        <sz val="11"/>
        <color theme="1"/>
        <rFont val="Calibri"/>
        <family val="2"/>
        <charset val="238"/>
        <scheme val="minor"/>
      </rPr>
      <t xml:space="preserve">€ </t>
    </r>
    <r>
      <rPr>
        <b/>
        <u/>
        <sz val="12"/>
        <color theme="1"/>
        <rFont val="Calibri"/>
        <family val="2"/>
        <charset val="238"/>
        <scheme val="minor"/>
      </rPr>
      <t>ročne</t>
    </r>
    <r>
      <rPr>
        <sz val="11"/>
        <color theme="1"/>
        <rFont val="Calibri"/>
        <family val="2"/>
        <charset val="238"/>
        <scheme val="minor"/>
      </rPr>
      <t xml:space="preserve">. Koľko našetríme? </t>
    </r>
  </si>
  <si>
    <t>úvodný príklad</t>
  </si>
  <si>
    <t>Funkcia FV má 5 argumentov: sadzba, počet období, platba, súčasná hodnota, typ. Posledné dve sú nepovinné.</t>
  </si>
  <si>
    <t>V úvodnom príklade =FV(0,03; 5; -100), je platba záporná.</t>
  </si>
  <si>
    <r>
      <t>Ak použijeme pri platbe opačné čísla (čísla líšiace iba znamienkom), výsledkom budú (</t>
    </r>
    <r>
      <rPr>
        <b/>
        <u/>
        <sz val="11"/>
        <color theme="1"/>
        <rFont val="Calibri"/>
        <family val="2"/>
        <charset val="238"/>
        <scheme val="minor"/>
      </rPr>
      <t>v tomto prípade)</t>
    </r>
    <r>
      <rPr>
        <b/>
        <sz val="11"/>
        <color theme="1"/>
        <rFont val="Calibri"/>
        <family val="2"/>
        <charset val="238"/>
        <scheme val="minor"/>
      </rPr>
      <t xml:space="preserve"> opačné čísla. To niektorých vedie k myšlienke, že je to jedno. Nie je.</t>
    </r>
  </si>
  <si>
    <t>Pri použití nepovinných argumentov, resp. pri iných finančných funkciách je použitie správneho znamienka nutné - pri použití opačných čísel výsledkom nebudú opačné čísla.</t>
  </si>
  <si>
    <t>Dostávam po 100, budem musieť dať 531. (z pohľadu banky)</t>
  </si>
  <si>
    <t>Dávam preč po 100, dostanem 531. (z pohľadu šetriaceho / investora)</t>
  </si>
  <si>
    <t>Finančné funkcie majú troška špeciálne argumenty. 
Našťastie sa opakujú skoro pre každú funkciu, Takže ich stačí vysvetliť/naučiť sa pri jednej funkcii.
V našom prípade sú vysvetlené pri funkcii FV v nasledujúcom hárku.</t>
  </si>
  <si>
    <t>dní</t>
  </si>
  <si>
    <t>sekúnd</t>
  </si>
  <si>
    <t>týždňov</t>
  </si>
  <si>
    <t>mesiacov</t>
  </si>
  <si>
    <t>roky</t>
  </si>
  <si>
    <t>rokov</t>
  </si>
  <si>
    <t>týždenne</t>
  </si>
  <si>
    <t>každú sekundu</t>
  </si>
  <si>
    <t>Príklad zápisu argumentu "počet období":</t>
  </si>
  <si>
    <t>Príklady zápisu argumentu "sadzba":</t>
  </si>
  <si>
    <t>Použil som najjednoduchšiu textovú funkciu.</t>
  </si>
  <si>
    <t>Argument
sadzba</t>
  </si>
  <si>
    <t>Všimnite si, že argument sadzba môže byť rovnaký pre rôzne zadania (šedé a hnedé oblasti)!</t>
  </si>
  <si>
    <t>Všimnite si, že pre rôzne zadania môžu byť rovnaké nielen sadzby ale aj spôsob výpočtu (žlté, modré resp. zelené oblasti)!</t>
  </si>
  <si>
    <t>Všimnite si, že pre rôzne zadania môžu byť rovnaké nielen počty období ale aj spôsob výpočtu (žlté, resp. zelené oblasti)!</t>
  </si>
  <si>
    <t>Jednotka
času</t>
  </si>
  <si>
    <t>Investícia
na</t>
  </si>
  <si>
    <t>Frekvencia
platieb</t>
  </si>
  <si>
    <t>Počet 
období</t>
  </si>
  <si>
    <t>Preferovaný
zápis</t>
  </si>
  <si>
    <t>Úroková sadzba
(hodnota)</t>
  </si>
  <si>
    <t>Úroková sadzba
(doba)</t>
  </si>
  <si>
    <t>Doba/Frekvencia</t>
  </si>
  <si>
    <t>Jednotka času/Frekvencia</t>
  </si>
  <si>
    <r>
      <rPr>
        <b/>
        <sz val="11"/>
        <color theme="1"/>
        <rFont val="Calibri"/>
        <family val="2"/>
        <charset val="238"/>
        <scheme val="minor"/>
      </rPr>
      <t>Ako by vyzerala úloha:</t>
    </r>
    <r>
      <rPr>
        <sz val="11"/>
        <color theme="1"/>
        <rFont val="Calibri"/>
        <family val="2"/>
        <charset val="238"/>
        <scheme val="minor"/>
      </rPr>
      <t xml:space="preserve">
Koľko našetrím, keď budem peniaze ukladať ...</t>
    </r>
  </si>
  <si>
    <r>
      <rPr>
        <b/>
        <sz val="11"/>
        <color theme="1"/>
        <rFont val="Calibri"/>
        <family val="2"/>
        <charset val="238"/>
        <scheme val="minor"/>
      </rPr>
      <t>Ako by vyzerala úloha:</t>
    </r>
    <r>
      <rPr>
        <sz val="11"/>
        <color theme="1"/>
        <rFont val="Calibri"/>
        <family val="2"/>
        <charset val="238"/>
        <scheme val="minor"/>
      </rPr>
      <t xml:space="preserve">
Koľko našetrím, keď pri nejakej úrokovej sadzbe budem peniaze ukladať ...</t>
    </r>
  </si>
  <si>
    <t>každých 6 hodín 
(každý štvrťdeň)</t>
  </si>
  <si>
    <r>
      <t xml:space="preserve">Dôležité časti sú </t>
    </r>
    <r>
      <rPr>
        <b/>
        <u/>
        <sz val="12"/>
        <color theme="1"/>
        <rFont val="Calibri"/>
        <family val="2"/>
        <charset val="238"/>
        <scheme val="minor"/>
      </rPr>
      <t>zvýraznené</t>
    </r>
    <r>
      <rPr>
        <sz val="11"/>
        <color theme="1"/>
        <rFont val="Calibri"/>
        <family val="2"/>
        <charset val="238"/>
        <scheme val="minor"/>
      </rPr>
      <t>. Všimnite si, že okrem čísel, sú dôležité aj iné informácie.</t>
    </r>
  </si>
  <si>
    <t>Je jednoduché pravidlo: Ak peniaze idú odo mňa preč, tak je číslo záporné. Ak idú ku mne, číslo je kladné.</t>
  </si>
  <si>
    <t>Aj keď to priamo nevidno, slová "ročnej", "rokov" a "ročne" sú vo výpočte zohľadnené.</t>
  </si>
  <si>
    <t>Príklad 1</t>
  </si>
  <si>
    <t>Príklad 2</t>
  </si>
  <si>
    <t>Príklad 3</t>
  </si>
  <si>
    <t>Príklad 4</t>
  </si>
  <si>
    <t>Príklad 5</t>
  </si>
  <si>
    <t>Príklad 6</t>
  </si>
  <si>
    <t>Príklad 7</t>
  </si>
  <si>
    <t>Príklad 8</t>
  </si>
  <si>
    <t>Ako dlho</t>
  </si>
  <si>
    <t>Koľko našetrím, keď budem šetriť na základe tabuľky?</t>
  </si>
  <si>
    <t>Úroková sadzba</t>
  </si>
  <si>
    <t>Ako často</t>
  </si>
  <si>
    <t>dvojročná</t>
  </si>
  <si>
    <t>Po koľko €</t>
  </si>
  <si>
    <t>každých 12 hodín</t>
  </si>
  <si>
    <t>Porovnajte výsledky</t>
  </si>
  <si>
    <t>Skúste vzorce vytvoriť.
Pre kontrolu rozbaľte
kliknutím na +.</t>
  </si>
  <si>
    <t>Príklad 9</t>
  </si>
  <si>
    <t xml:space="preserve"> =FV(0,1/12; A9; 0; -$B$8)</t>
  </si>
  <si>
    <t>Koľkokrát sa pripisujú úroky. V popisoch sa uvádza, že je to počet platieb. Väčšinou sú tieto počty zhodné), ale nie je to celkom pravda, pretože nemusia byť žiadne platby. 
Viď príklad 1 v hárku "FV - úlohy, nepovinné argumenty".</t>
  </si>
  <si>
    <t>Argument SH je -500, pretože peniaze idú od nás preč.</t>
  </si>
  <si>
    <t>Argument počet období berieme zo stĺpca A.</t>
  </si>
  <si>
    <t>Toto netreba vedieť, aj keď to nie je ťažké.</t>
  </si>
  <si>
    <t>Tento spôsob je dobré vedieť, technika používania predchádzajúceho riadku (stĺpca) je ľahká a mnohokrát využiteľná.</t>
  </si>
  <si>
    <t>Malo by byť jasné, prečo je tu viac.</t>
  </si>
  <si>
    <t>Každá suma sa úročí o mesiac dlhšie.</t>
  </si>
  <si>
    <t>Argument platba je 0, pretože pravidelné platby neplatíme.</t>
  </si>
  <si>
    <t>Argument platba je -50, pretože pravidelné platby platíme my.</t>
  </si>
  <si>
    <t>Hodnoty sa menia, preto do vzorca zadávajte bunky.</t>
  </si>
  <si>
    <t>Všimnite si: to isté, zapísané rôzne.</t>
  </si>
  <si>
    <t>Úroková sadzba môže byť zadaná ako číslo (0,03), alebo ako percento (3%). Je to jedno, ja uprednostňujem prvý spôsob.
Dôležité je rozlišovať, k akému obdobiu sa viaže úroková sadzba: ročná (p. a.), mesačná (p. m.), polročná (p. s.), štvrťročná (p. q.), týždenná (p. sept.), denná (p. d.). 
V praxi: ak nie je uvedená, tak sa predpokladá ročná. Lepšie sa je ale vždy uistiť a predísť tak problémom.</t>
  </si>
  <si>
    <t>p. a.</t>
  </si>
  <si>
    <t>p. s.</t>
  </si>
  <si>
    <t>p. m.</t>
  </si>
  <si>
    <t>p. sept.</t>
  </si>
  <si>
    <t>p. d.</t>
  </si>
  <si>
    <t xml:space="preserve">Pri úrokovej sadzbe 10% p. a. jednorazovo investujeme 500€ a potom mesačne investujeme 50€. 
Aký bude výsledok investície za jeden mesiac až dva roky.  </t>
  </si>
  <si>
    <t xml:space="preserve">Pri úrokovej sadzbe 10% p. a. mesačne investujeme 5€. 
Aký bude výsledok investície za 7 rokov jeden mesiac až dva roky (úroky sa pripisujú po mesiacoch).  </t>
  </si>
  <si>
    <t xml:space="preserve">Pri úrokovej sadzbe 10% p. a. jednorazovo investujeme 500€. Potom už peniaze nedávame.
Aký bude výsledok investície za jeden mesiac až dva roky (úroky sa pripisujú po mesiacoch).  </t>
  </si>
  <si>
    <t>Koľko našetrím, ak budem pri úrokovej sadzbe 5% p. a., šetriť ročne, 10 rokov.</t>
  </si>
  <si>
    <t>Koľko našetrím, ak budem pri úrokovej sadzbe 5% p. sept., šetriť týždenne, 10 týždňov.</t>
  </si>
  <si>
    <r>
      <rPr>
        <b/>
        <sz val="11"/>
        <color theme="1"/>
        <rFont val="Calibri"/>
        <family val="2"/>
        <charset val="238"/>
        <scheme val="minor"/>
      </rPr>
      <t>man</t>
    </r>
    <r>
      <rPr>
        <sz val="11"/>
        <color theme="1"/>
        <rFont val="Calibri"/>
        <family val="2"/>
        <charset val="238"/>
        <scheme val="minor"/>
      </rPr>
      <t xml:space="preserve"> - spôsob výpočtu "manuálne", k predchádzajúcemu stavu pripočítame úrok: Cx + Cx*(0,1/12). </t>
    </r>
  </si>
  <si>
    <t xml:space="preserve">V tabuľke je Cx vyňaté pred zátvorku. </t>
  </si>
  <si>
    <r>
      <rPr>
        <b/>
        <sz val="11"/>
        <color theme="1"/>
        <rFont val="Calibri"/>
        <family val="2"/>
        <charset val="238"/>
        <scheme val="minor"/>
      </rPr>
      <t>mat</t>
    </r>
    <r>
      <rPr>
        <sz val="11"/>
        <color theme="1"/>
        <rFont val="Calibri"/>
        <family val="2"/>
        <charset val="238"/>
        <scheme val="minor"/>
      </rPr>
      <t xml:space="preserve"> - spôsob výpočtu "matematik", nepotrebujeme predchádzajúci stav. Výpočet je efektívny.</t>
    </r>
  </si>
  <si>
    <r>
      <rPr>
        <b/>
        <sz val="11"/>
        <color theme="1"/>
        <rFont val="Calibri"/>
        <family val="2"/>
        <charset val="238"/>
        <scheme val="minor"/>
      </rPr>
      <t>mat</t>
    </r>
    <r>
      <rPr>
        <sz val="11"/>
        <color theme="1"/>
        <rFont val="Calibri"/>
        <family val="2"/>
        <charset val="238"/>
        <scheme val="minor"/>
      </rPr>
      <t xml:space="preserve"> - spôsob výpočtu "supermatematik", nepotrebujeme predchádzajúci stav.</t>
    </r>
  </si>
  <si>
    <r>
      <rPr>
        <b/>
        <sz val="11"/>
        <color theme="1"/>
        <rFont val="Calibri"/>
        <family val="2"/>
        <charset val="238"/>
        <scheme val="minor"/>
      </rPr>
      <t>man</t>
    </r>
    <r>
      <rPr>
        <sz val="11"/>
        <color theme="1"/>
        <rFont val="Calibri"/>
        <family val="2"/>
        <charset val="238"/>
        <scheme val="minor"/>
      </rPr>
      <t xml:space="preserve"> - spôsob výpočtu "manuálne", k predchádzajúcemu stavu pripočítame úrok: Cx + Cx*(0,1/12) + 50. </t>
    </r>
  </si>
  <si>
    <t>Toto netreba vedieť. Iba ak ma nahneváte.</t>
  </si>
  <si>
    <t>Funkcia Rate - (Úroková sadzba)</t>
  </si>
  <si>
    <t>Funkcia Rate vypočíta úrokovú sadzbu investície (napr. sporenia). 
Počas celej doby sa predpokladá konštantná úroková sadzba a pravidelná konštantná platba.</t>
  </si>
  <si>
    <t>Aj keď to priamo nevidno, slová "ročná", "rokov" a "ročne" sú vo výpočte zohľadnené.</t>
  </si>
  <si>
    <t>Ročná úroková miera:</t>
  </si>
  <si>
    <r>
      <t xml:space="preserve"> Banka ponúka úver. Môžeme si požičať </t>
    </r>
    <r>
      <rPr>
        <b/>
        <u/>
        <sz val="12"/>
        <color theme="1"/>
        <rFont val="Calibri"/>
        <family val="2"/>
        <charset val="238"/>
        <scheme val="minor"/>
      </rPr>
      <t>500€</t>
    </r>
    <r>
      <rPr>
        <sz val="11"/>
        <color theme="1"/>
        <rFont val="Calibri"/>
        <family val="2"/>
        <charset val="238"/>
        <scheme val="minor"/>
      </rPr>
      <t xml:space="preserve"> a </t>
    </r>
    <r>
      <rPr>
        <b/>
        <u/>
        <sz val="12"/>
        <color theme="1"/>
        <rFont val="Calibri"/>
        <family val="2"/>
        <charset val="238"/>
        <scheme val="minor"/>
      </rPr>
      <t>5 rokov</t>
    </r>
    <r>
      <rPr>
        <sz val="11"/>
        <color theme="1"/>
        <rFont val="Calibri"/>
        <family val="2"/>
        <charset val="238"/>
        <scheme val="minor"/>
      </rPr>
      <t xml:space="preserve"> ich splácať po </t>
    </r>
    <r>
      <rPr>
        <b/>
        <u/>
        <sz val="12"/>
        <color theme="1"/>
        <rFont val="Calibri"/>
        <family val="2"/>
        <charset val="238"/>
        <scheme val="minor"/>
      </rPr>
      <t>110</t>
    </r>
    <r>
      <rPr>
        <sz val="11"/>
        <color theme="1"/>
        <rFont val="Calibri"/>
        <family val="2"/>
        <charset val="238"/>
        <scheme val="minor"/>
      </rPr>
      <t xml:space="preserve">€ </t>
    </r>
    <r>
      <rPr>
        <b/>
        <u/>
        <sz val="12"/>
        <color theme="1"/>
        <rFont val="Calibri"/>
        <family val="2"/>
        <charset val="238"/>
        <scheme val="minor"/>
      </rPr>
      <t>ročne</t>
    </r>
    <r>
      <rPr>
        <sz val="11"/>
        <color theme="1"/>
        <rFont val="Calibri"/>
        <family val="2"/>
        <charset val="238"/>
        <scheme val="minor"/>
      </rPr>
      <t xml:space="preserve">. Aká je </t>
    </r>
    <r>
      <rPr>
        <b/>
        <u/>
        <sz val="12"/>
        <color theme="1"/>
        <rFont val="Calibri"/>
        <family val="2"/>
        <charset val="238"/>
        <scheme val="minor"/>
      </rPr>
      <t>ročná</t>
    </r>
    <r>
      <rPr>
        <sz val="11"/>
        <color theme="1"/>
        <rFont val="Calibri"/>
        <family val="2"/>
        <charset val="238"/>
        <scheme val="minor"/>
      </rPr>
      <t xml:space="preserve"> úroková sadzba? (1% je asi OK, 20% je určite veľa.)</t>
    </r>
  </si>
  <si>
    <r>
      <t xml:space="preserve">Argument </t>
    </r>
    <r>
      <rPr>
        <b/>
        <u/>
        <sz val="12"/>
        <color theme="1"/>
        <rFont val="Calibri"/>
        <family val="2"/>
        <charset val="238"/>
        <scheme val="minor"/>
      </rPr>
      <t>súčasná hodnota</t>
    </r>
    <r>
      <rPr>
        <b/>
        <sz val="12"/>
        <color theme="1"/>
        <rFont val="Calibri"/>
        <family val="2"/>
        <charset val="238"/>
        <scheme val="minor"/>
      </rPr>
      <t xml:space="preserve"> je to, čo bolo požičané na začiatku. O znamienkach platí presne to isté, čo pre argument </t>
    </r>
    <r>
      <rPr>
        <b/>
        <u/>
        <sz val="12"/>
        <color theme="1"/>
        <rFont val="Calibri"/>
        <family val="2"/>
        <charset val="238"/>
        <scheme val="minor"/>
      </rPr>
      <t>platba</t>
    </r>
    <r>
      <rPr>
        <b/>
        <sz val="12"/>
        <color theme="1"/>
        <rFont val="Calibri"/>
        <family val="2"/>
        <charset val="238"/>
        <scheme val="minor"/>
      </rPr>
      <t>.</t>
    </r>
  </si>
  <si>
    <t>Pohľad požičiavajúceho si:</t>
  </si>
  <si>
    <t>Pohľad veriteľa:</t>
  </si>
  <si>
    <t>Príklad z úvodu. Porovnajte znamienka.</t>
  </si>
  <si>
    <r>
      <t xml:space="preserve">Argumenty </t>
    </r>
    <r>
      <rPr>
        <b/>
        <u/>
        <sz val="12"/>
        <color theme="1"/>
        <rFont val="Calibri"/>
        <family val="2"/>
        <charset val="238"/>
        <scheme val="minor"/>
      </rPr>
      <t>počet období,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u/>
        <sz val="12"/>
        <color theme="1"/>
        <rFont val="Calibri"/>
        <family val="2"/>
        <charset val="238"/>
        <scheme val="minor"/>
      </rPr>
      <t>platba</t>
    </r>
    <r>
      <rPr>
        <b/>
        <sz val="12"/>
        <color theme="1"/>
        <rFont val="Calibri"/>
        <family val="2"/>
        <charset val="238"/>
        <scheme val="minor"/>
      </rPr>
      <t xml:space="preserve"> a </t>
    </r>
    <r>
      <rPr>
        <b/>
        <u/>
        <sz val="12"/>
        <color theme="1"/>
        <rFont val="Calibri"/>
        <family val="2"/>
        <charset val="238"/>
        <scheme val="minor"/>
      </rPr>
      <t>typ</t>
    </r>
    <r>
      <rPr>
        <b/>
        <sz val="12"/>
        <color theme="1"/>
        <rFont val="Calibri"/>
        <family val="2"/>
        <charset val="238"/>
        <scheme val="minor"/>
      </rPr>
      <t xml:space="preserve"> sú rovnaké ako pri funkcii FV.</t>
    </r>
  </si>
  <si>
    <t>Porovnajte argument BH v nasledujúcich príkladoch:</t>
  </si>
  <si>
    <t>Z pohľadu banky</t>
  </si>
  <si>
    <t>Je to rozdiel 30€</t>
  </si>
  <si>
    <t>Úvodný príklad, ale na konci zaplatí banka ešte 15€.</t>
  </si>
  <si>
    <t>Úvodný príklad, ale na konci dostane banka ešte 15€.</t>
  </si>
  <si>
    <r>
      <t xml:space="preserve">Argument </t>
    </r>
    <r>
      <rPr>
        <b/>
        <u/>
        <sz val="12"/>
        <color theme="1"/>
        <rFont val="Calibri"/>
        <family val="2"/>
        <charset val="238"/>
        <scheme val="minor"/>
      </rPr>
      <t>budúca hodnota</t>
    </r>
    <r>
      <rPr>
        <b/>
        <sz val="12"/>
        <color theme="1"/>
        <rFont val="Calibri"/>
        <family val="2"/>
        <charset val="238"/>
        <scheme val="minor"/>
      </rPr>
      <t xml:space="preserve"> je to, čo ostane na konci splácania. O znamienkach platí presne to isté, čo pre argument </t>
    </r>
    <r>
      <rPr>
        <b/>
        <u/>
        <sz val="12"/>
        <color theme="1"/>
        <rFont val="Calibri"/>
        <family val="2"/>
        <charset val="238"/>
        <scheme val="minor"/>
      </rPr>
      <t>platba</t>
    </r>
    <r>
      <rPr>
        <b/>
        <sz val="12"/>
        <color theme="1"/>
        <rFont val="Calibri"/>
        <family val="2"/>
        <charset val="238"/>
        <scheme val="minor"/>
      </rPr>
      <t>.</t>
    </r>
  </si>
  <si>
    <t>Bežne sa spláca pôžička do nuly, preto je BH nepovinný argument s predvolenou hodnotou 0.</t>
  </si>
  <si>
    <t>Z pohľadu splácajúceho</t>
  </si>
  <si>
    <t>Dostanem 500, budem dávať po 110</t>
  </si>
  <si>
    <t>Dám 500, budem dostávať po 110</t>
  </si>
  <si>
    <t>Dôležité:</t>
  </si>
  <si>
    <t>Úroková sadzba sa vzťahuje na obdobie, z ktorej sme ju počítali.</t>
  </si>
  <si>
    <t>Príklad (1) na rozbehnutie:</t>
  </si>
  <si>
    <t>Príklad 2:</t>
  </si>
  <si>
    <t xml:space="preserve"> Banka ponúka úver. Môžeme si požičať 500€ a 5 mesiacov ich splácať po 110€ mesačne. Aká je ročná úroková sadzba? (1% je asi OK, 20% je určite veľa.)</t>
  </si>
  <si>
    <t>Výpočet:</t>
  </si>
  <si>
    <t>Čísla sú rovnaké ako v úvodnom príklade.</t>
  </si>
  <si>
    <t>Napríklad, ak by platba bola pravidelná ale nie rovnaká.</t>
  </si>
  <si>
    <t>Ročná sadzba</t>
  </si>
  <si>
    <r>
      <t xml:space="preserve">Dôležité časti sú </t>
    </r>
    <r>
      <rPr>
        <b/>
        <u/>
        <sz val="12"/>
        <color theme="1"/>
        <rFont val="Calibri"/>
        <family val="2"/>
        <charset val="238"/>
        <scheme val="minor"/>
      </rPr>
      <t>zvýraznené</t>
    </r>
    <r>
      <rPr>
        <sz val="11"/>
        <color theme="1"/>
        <rFont val="Calibri"/>
        <family val="2"/>
        <charset val="238"/>
        <scheme val="minor"/>
      </rPr>
      <t>. Všimnite si, že okrem čísel, sú dôležité aj iné informácie (aj v otázke).</t>
    </r>
  </si>
  <si>
    <t>Príklad 3:</t>
  </si>
  <si>
    <t xml:space="preserve"> Banka ponúka úver. Môžeme si požičať 500€ a 5 dní ich splácať po 110€ denne. Aká je týždenná úroková sadzba? (1% je asi OK, 20% je určite veľa.)</t>
  </si>
  <si>
    <t>V úvodnom príklade boli platby (úročenie) po rokoch, preto vyšla  sadzba ročná. Všimnite si, že otázka sa pýtala na ročnú sadzbu. 
To veľa študentov (ku svojej škode) ignoruje.</t>
  </si>
  <si>
    <t>Týždenná sadzba</t>
  </si>
  <si>
    <t>FV - Nepovinné argumenty</t>
  </si>
  <si>
    <t>FV - Základné úlohy</t>
  </si>
  <si>
    <t>Rate - príklady</t>
  </si>
  <si>
    <t>Aká je úroková sadzba pri použití dát z tabuľky?</t>
  </si>
  <si>
    <t>?</t>
  </si>
  <si>
    <t>Po koľko €
splácam</t>
  </si>
  <si>
    <t>Ako dlho
splácam</t>
  </si>
  <si>
    <t>Do vzorca zadávajte bunky.</t>
  </si>
  <si>
    <t>Výška
úveru</t>
  </si>
  <si>
    <t>Rate</t>
  </si>
  <si>
    <t>Splátky
spolu</t>
  </si>
  <si>
    <r>
      <t xml:space="preserve">Argument </t>
    </r>
    <r>
      <rPr>
        <b/>
        <u/>
        <sz val="12"/>
        <color theme="1"/>
        <rFont val="Calibri"/>
        <family val="2"/>
        <charset val="238"/>
        <scheme val="minor"/>
      </rPr>
      <t>odhad</t>
    </r>
    <r>
      <rPr>
        <b/>
        <sz val="12"/>
        <color theme="1"/>
        <rFont val="Calibri"/>
        <family val="2"/>
        <charset val="238"/>
        <scheme val="minor"/>
      </rPr>
      <t xml:space="preserve"> je odhad aký bude výsledok. Ak nie je zadaný, predpokladá sa 10%. (0,1).</t>
    </r>
  </si>
  <si>
    <t>Ak máte smolu, tak funkcia vypíše chybu #NUM! (#ČÍSLO!). V takom prípade môžete skúsiť "pomôcť" Excelu zadaním odhadovanej hodnoty.</t>
  </si>
  <si>
    <t>Počiatočný výpočet rovnaký ako v úvodnom príklade, interpretácia výsledku iná</t>
  </si>
  <si>
    <t>Funkcia počíta sadzbu iteráciami, t. j. opakuje ten istý numerický postup viackrát, vždy s presnejšou a presnejšou hodnotou.
Ak je zadanie normálne, iterácie zakonvergujú k správnemu výsledku.</t>
  </si>
  <si>
    <t>V príklade 9 je výsledok naozaj záporný. Prečo?</t>
  </si>
  <si>
    <t>Funkcia Rate má 6 argumentov: počet období, platba, súčasná hodnota, budúca hodnota, typ, odhad. Posledné tri sú nepovinné.</t>
  </si>
  <si>
    <t>Funkcia FV vypočíta budúcu hodnotu investície (napr. sporenia). 
Počas celej doby sa predpokladá konštantná úroková sadzba a pravidelná konštantná platba.</t>
  </si>
  <si>
    <t>Počiatočná hodnota investície. Úvodný jednorazový vklad, po ňom obvykle nasledujú pravidelné konštantné platby.
Predvolená hodnota je 0.</t>
  </si>
  <si>
    <t>Prednastavená je 0 = platba na konci obdobia,  1 = platba na začiatku obdobia.</t>
  </si>
  <si>
    <t xml:space="preserve">Vyjadruje, kedy sú sumy splatné. </t>
  </si>
  <si>
    <t>Využili sme, že predvolená hodnota je 0 = platba na konci obdobia.</t>
  </si>
  <si>
    <t>Aká bude hodnota po 50 rokoch. Porovnajte výsledky pri použití platbe na začiatku a na konci obdobia.</t>
  </si>
  <si>
    <t>Na začiatku obdobia</t>
  </si>
  <si>
    <t>Na konci obdobia</t>
  </si>
  <si>
    <t>V oboch príkladoch je platba 0€ a úvodná platba (súčasná hodnota) 1000€.</t>
  </si>
  <si>
    <t>V príklade 8 je vidno, že Excel ráta numericky (a teda s istou presnosťou). V skutočnosti je to 0%, prečo?</t>
  </si>
  <si>
    <t>bez pravidelnej platby</t>
  </si>
  <si>
    <t>úvodný vklad</t>
  </si>
  <si>
    <t>úroková sadzba</t>
  </si>
  <si>
    <t>p.a.</t>
  </si>
  <si>
    <t>p.s.</t>
  </si>
  <si>
    <t>p.q.</t>
  </si>
  <si>
    <t>Otázka:</t>
  </si>
  <si>
    <t xml:space="preserve">Ak budeme deliť sadzbu a obdobia úročenia, koľko najviac môžeme našetriť? </t>
  </si>
  <si>
    <t>počet delení úrokovej sadzby a období úročenia</t>
  </si>
  <si>
    <t>Nasporená suma</t>
  </si>
  <si>
    <t>Matika</t>
  </si>
  <si>
    <t>p.d.</t>
  </si>
  <si>
    <t>rok</t>
  </si>
  <si>
    <t>polroky</t>
  </si>
  <si>
    <t>štvrťroky</t>
  </si>
  <si>
    <t>hodín</t>
  </si>
  <si>
    <t>minút</t>
  </si>
  <si>
    <t>na minútu</t>
  </si>
  <si>
    <t>na hodinu</t>
  </si>
  <si>
    <t>rozdiel od optima :)</t>
  </si>
  <si>
    <t>celkom našetrím</t>
  </si>
  <si>
    <t>Šetrím</t>
  </si>
  <si>
    <t>p.m.</t>
  </si>
  <si>
    <t>ver. 14. 11. 2023</t>
  </si>
  <si>
    <t xml:space="preserve"> =FV(0,1/12; A39;-50; -$B$38)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</si>
</sst>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0"/>
    <numFmt numFmtId="165" formatCode="0.0%"/>
    <numFmt numFmtId="166" formatCode="_-* #,##0_-;\-* #,##0_-;_-* &quot;-&quot;??_-;_-@_-"/>
    <numFmt numFmtId="167" formatCode="0.0000000%"/>
    <numFmt numFmtId="168" formatCode="_-* #,##0\ [$€-41B]_-;\-* #,##0\ [$€-41B]_-;_-* &quot;-&quot;??\ [$€-41B]_-;_-@_-"/>
    <numFmt numFmtId="169" formatCode="_-* #,##0.00\ [$€-41B]_-;\-* #,##0.00\ [$€-41B]_-;_-* &quot;-&quot;??\ [$€-41B]_-;_-@_-"/>
    <numFmt numFmtId="170" formatCode="_-* #,##0.00000000000\ [$€-41B]_-;\-* #,##0.00000000000\ [$€-41B]_-;_-* &quot;-&quot;??\ [$€-41B]_-;_-@_-"/>
    <numFmt numFmtId="171" formatCode="0.00000%"/>
    <numFmt numFmtId="172" formatCode="_-* #,##0.00000\ [$€-41B]_-;\-* #,##0.00000\ [$€-41B]_-;_-* &quot;-&quot;??\ [$€-41B]_-;_-@_-"/>
    <numFmt numFmtId="173" formatCode="_-* #,##0.0000000\ &quot;€&quot;_-;\-* #,##0.0000000\ &quot;€&quot;_-;_-* &quot;-&quot;??\ &quot;€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7FFA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8" fontId="0" fillId="0" borderId="0" xfId="0" applyNumberFormat="1"/>
    <xf numFmtId="0" fontId="0" fillId="0" borderId="0" xfId="0" applyAlignment="1">
      <alignment vertical="center"/>
    </xf>
    <xf numFmtId="8" fontId="4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/>
    <xf numFmtId="0" fontId="2" fillId="0" borderId="1" xfId="0" applyFont="1" applyBorder="1"/>
    <xf numFmtId="0" fontId="2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8" fontId="0" fillId="0" borderId="10" xfId="0" applyNumberFormat="1" applyBorder="1"/>
    <xf numFmtId="8" fontId="2" fillId="0" borderId="8" xfId="0" applyNumberFormat="1" applyFont="1" applyBorder="1"/>
    <xf numFmtId="0" fontId="0" fillId="0" borderId="0" xfId="0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164" fontId="0" fillId="5" borderId="21" xfId="0" applyNumberFormat="1" applyFill="1" applyBorder="1" applyAlignment="1">
      <alignment vertical="center"/>
    </xf>
    <xf numFmtId="164" fontId="0" fillId="0" borderId="21" xfId="0" applyNumberFormat="1" applyBorder="1" applyAlignment="1">
      <alignment vertical="center"/>
    </xf>
    <xf numFmtId="0" fontId="0" fillId="0" borderId="21" xfId="0" applyBorder="1"/>
    <xf numFmtId="0" fontId="0" fillId="0" borderId="23" xfId="0" applyBorder="1"/>
    <xf numFmtId="0" fontId="0" fillId="6" borderId="21" xfId="0" applyFill="1" applyBorder="1"/>
    <xf numFmtId="164" fontId="0" fillId="6" borderId="21" xfId="0" applyNumberFormat="1" applyFill="1" applyBorder="1" applyAlignment="1">
      <alignment vertical="center"/>
    </xf>
    <xf numFmtId="0" fontId="10" fillId="0" borderId="0" xfId="0" applyFont="1"/>
    <xf numFmtId="0" fontId="2" fillId="0" borderId="13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 indent="1"/>
    </xf>
    <xf numFmtId="0" fontId="0" fillId="8" borderId="21" xfId="0" applyFill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2" fillId="0" borderId="6" xfId="0" applyFont="1" applyBorder="1"/>
    <xf numFmtId="0" fontId="2" fillId="0" borderId="7" xfId="0" applyFont="1" applyBorder="1"/>
    <xf numFmtId="0" fontId="2" fillId="0" borderId="16" xfId="0" applyFont="1" applyBorder="1" applyAlignment="1">
      <alignment horizontal="right" vertical="center" indent="1"/>
    </xf>
    <xf numFmtId="0" fontId="2" fillId="8" borderId="16" xfId="0" applyFont="1" applyFill="1" applyBorder="1" applyAlignment="1">
      <alignment horizontal="right" vertical="center" indent="1"/>
    </xf>
    <xf numFmtId="0" fontId="2" fillId="0" borderId="18" xfId="0" applyFont="1" applyBorder="1" applyAlignment="1">
      <alignment horizontal="right" vertical="center" indent="1"/>
    </xf>
    <xf numFmtId="0" fontId="13" fillId="0" borderId="0" xfId="0" applyFont="1"/>
    <xf numFmtId="0" fontId="2" fillId="0" borderId="10" xfId="0" applyFont="1" applyBorder="1"/>
    <xf numFmtId="0" fontId="0" fillId="0" borderId="0" xfId="0" applyAlignment="1">
      <alignment wrapText="1"/>
    </xf>
    <xf numFmtId="0" fontId="0" fillId="0" borderId="1" xfId="0" applyBorder="1"/>
    <xf numFmtId="0" fontId="2" fillId="0" borderId="3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65" fontId="0" fillId="0" borderId="8" xfId="2" applyNumberFormat="1" applyFont="1" applyBorder="1" applyAlignment="1" applyProtection="1">
      <alignment horizontal="right" indent="1"/>
    </xf>
    <xf numFmtId="0" fontId="0" fillId="0" borderId="0" xfId="0" applyAlignment="1">
      <alignment horizontal="right" indent="1"/>
    </xf>
    <xf numFmtId="8" fontId="0" fillId="8" borderId="28" xfId="0" applyNumberFormat="1" applyFill="1" applyBorder="1"/>
    <xf numFmtId="0" fontId="0" fillId="0" borderId="0" xfId="0" applyAlignment="1">
      <alignment horizontal="left" indent="1"/>
    </xf>
    <xf numFmtId="165" fontId="0" fillId="0" borderId="10" xfId="2" applyNumberFormat="1" applyFont="1" applyBorder="1" applyAlignment="1" applyProtection="1">
      <alignment horizontal="right" indent="1"/>
    </xf>
    <xf numFmtId="0" fontId="0" fillId="0" borderId="11" xfId="0" applyBorder="1" applyAlignment="1">
      <alignment horizontal="right" indent="1"/>
    </xf>
    <xf numFmtId="8" fontId="0" fillId="8" borderId="29" xfId="0" applyNumberFormat="1" applyFill="1" applyBorder="1"/>
    <xf numFmtId="8" fontId="0" fillId="4" borderId="0" xfId="0" applyNumberFormat="1" applyFill="1"/>
    <xf numFmtId="8" fontId="0" fillId="0" borderId="6" xfId="0" applyNumberFormat="1" applyBorder="1"/>
    <xf numFmtId="8" fontId="0" fillId="0" borderId="7" xfId="0" applyNumberFormat="1" applyBorder="1"/>
    <xf numFmtId="8" fontId="0" fillId="9" borderId="0" xfId="0" applyNumberFormat="1" applyFill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0" fontId="4" fillId="0" borderId="8" xfId="0" applyNumberFormat="1" applyFont="1" applyBorder="1"/>
    <xf numFmtId="10" fontId="4" fillId="0" borderId="0" xfId="0" applyNumberFormat="1" applyFont="1"/>
    <xf numFmtId="0" fontId="4" fillId="0" borderId="8" xfId="0" applyFont="1" applyBorder="1"/>
    <xf numFmtId="0" fontId="4" fillId="0" borderId="9" xfId="0" applyFont="1" applyBorder="1"/>
    <xf numFmtId="0" fontId="0" fillId="0" borderId="0" xfId="0" applyAlignment="1">
      <alignment horizontal="right"/>
    </xf>
    <xf numFmtId="0" fontId="14" fillId="0" borderId="0" xfId="0" applyFont="1"/>
    <xf numFmtId="0" fontId="15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8" xfId="0" applyBorder="1"/>
    <xf numFmtId="0" fontId="0" fillId="0" borderId="29" xfId="0" applyBorder="1"/>
    <xf numFmtId="10" fontId="0" fillId="8" borderId="28" xfId="0" applyNumberFormat="1" applyFill="1" applyBorder="1"/>
    <xf numFmtId="10" fontId="0" fillId="8" borderId="29" xfId="0" applyNumberFormat="1" applyFill="1" applyBorder="1"/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166" fontId="5" fillId="0" borderId="28" xfId="1" applyNumberFormat="1" applyFont="1" applyBorder="1" applyAlignment="1" applyProtection="1"/>
    <xf numFmtId="166" fontId="5" fillId="0" borderId="29" xfId="1" applyNumberFormat="1" applyFont="1" applyBorder="1" applyAlignment="1" applyProtection="1"/>
    <xf numFmtId="0" fontId="0" fillId="0" borderId="5" xfId="0" applyBorder="1"/>
    <xf numFmtId="165" fontId="0" fillId="0" borderId="5" xfId="2" applyNumberFormat="1" applyFont="1" applyBorder="1" applyAlignment="1" applyProtection="1">
      <alignment horizontal="right" indent="1"/>
    </xf>
    <xf numFmtId="0" fontId="0" fillId="0" borderId="27" xfId="0" applyBorder="1"/>
    <xf numFmtId="0" fontId="0" fillId="0" borderId="6" xfId="0" applyBorder="1" applyAlignment="1">
      <alignment horizontal="right" indent="1"/>
    </xf>
    <xf numFmtId="0" fontId="5" fillId="0" borderId="6" xfId="0" applyFont="1" applyBorder="1"/>
    <xf numFmtId="166" fontId="5" fillId="0" borderId="27" xfId="1" applyNumberFormat="1" applyFont="1" applyBorder="1" applyAlignment="1" applyProtection="1"/>
    <xf numFmtId="0" fontId="5" fillId="0" borderId="11" xfId="0" applyFont="1" applyBorder="1"/>
    <xf numFmtId="167" fontId="0" fillId="8" borderId="27" xfId="0" applyNumberFormat="1" applyFill="1" applyBorder="1"/>
    <xf numFmtId="168" fontId="0" fillId="0" borderId="12" xfId="0" applyNumberFormat="1" applyBorder="1"/>
    <xf numFmtId="9" fontId="0" fillId="0" borderId="0" xfId="0" applyNumberFormat="1"/>
    <xf numFmtId="170" fontId="0" fillId="0" borderId="0" xfId="0" applyNumberForma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9" fontId="0" fillId="0" borderId="0" xfId="0" applyNumberFormat="1"/>
    <xf numFmtId="166" fontId="0" fillId="0" borderId="8" xfId="1" applyNumberFormat="1" applyFont="1" applyBorder="1"/>
    <xf numFmtId="171" fontId="0" fillId="0" borderId="6" xfId="0" applyNumberFormat="1" applyBorder="1"/>
    <xf numFmtId="172" fontId="0" fillId="0" borderId="11" xfId="0" applyNumberFormat="1" applyBorder="1"/>
    <xf numFmtId="173" fontId="0" fillId="0" borderId="0" xfId="3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9" xfId="0" applyFont="1" applyBorder="1"/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2" fillId="0" borderId="16" xfId="0" applyFont="1" applyBorder="1" applyAlignment="1">
      <alignment horizontal="right" indent="4"/>
    </xf>
    <xf numFmtId="0" fontId="2" fillId="0" borderId="0" xfId="0" applyFont="1" applyAlignment="1">
      <alignment horizontal="right" indent="4"/>
    </xf>
    <xf numFmtId="0" fontId="0" fillId="0" borderId="0" xfId="0" applyAlignment="1">
      <alignment horizont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right" vertical="center" indent="5"/>
    </xf>
    <xf numFmtId="0" fontId="0" fillId="0" borderId="17" xfId="0" applyBorder="1" applyAlignment="1">
      <alignment horizontal="right" vertical="center" indent="5"/>
    </xf>
    <xf numFmtId="12" fontId="0" fillId="0" borderId="18" xfId="0" applyNumberFormat="1" applyBorder="1" applyAlignment="1">
      <alignment horizontal="right" vertical="center" wrapText="1" indent="5"/>
    </xf>
    <xf numFmtId="12" fontId="0" fillId="0" borderId="20" xfId="0" applyNumberFormat="1" applyBorder="1" applyAlignment="1">
      <alignment horizontal="right" vertical="center" wrapText="1" indent="5"/>
    </xf>
    <xf numFmtId="0" fontId="0" fillId="8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9" xfId="0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/>
    <xf numFmtId="0" fontId="0" fillId="0" borderId="20" xfId="0" applyBorder="1"/>
    <xf numFmtId="0" fontId="0" fillId="8" borderId="17" xfId="0" applyFill="1" applyBorder="1" applyAlignment="1">
      <alignment horizontal="left" vertical="center" indent="1"/>
    </xf>
    <xf numFmtId="0" fontId="0" fillId="0" borderId="16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7" xfId="0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2" fillId="0" borderId="18" xfId="0" applyFont="1" applyBorder="1" applyAlignment="1">
      <alignment horizontal="left" indent="1"/>
    </xf>
    <xf numFmtId="0" fontId="2" fillId="0" borderId="19" xfId="0" applyFont="1" applyBorder="1" applyAlignment="1">
      <alignment horizontal="left" indent="1"/>
    </xf>
    <xf numFmtId="0" fontId="2" fillId="0" borderId="20" xfId="0" applyFont="1" applyBorder="1" applyAlignment="1">
      <alignment horizontal="left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 indent="41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21" xfId="0" applyFont="1" applyFill="1" applyBorder="1" applyAlignment="1">
      <alignment horizontal="right" vertical="center" indent="2"/>
    </xf>
    <xf numFmtId="0" fontId="2" fillId="3" borderId="17" xfId="0" applyFont="1" applyFill="1" applyBorder="1" applyAlignment="1">
      <alignment horizontal="right" vertical="center" indent="2"/>
    </xf>
    <xf numFmtId="0" fontId="2" fillId="2" borderId="16" xfId="0" applyFont="1" applyFill="1" applyBorder="1" applyAlignment="1">
      <alignment horizontal="right" vertical="center" indent="2"/>
    </xf>
    <xf numFmtId="0" fontId="2" fillId="2" borderId="17" xfId="0" applyFont="1" applyFill="1" applyBorder="1" applyAlignment="1">
      <alignment horizontal="right" vertical="center" indent="2"/>
    </xf>
    <xf numFmtId="0" fontId="9" fillId="4" borderId="16" xfId="0" applyFont="1" applyFill="1" applyBorder="1" applyAlignment="1">
      <alignment horizontal="right" vertical="center" indent="2"/>
    </xf>
    <xf numFmtId="0" fontId="9" fillId="4" borderId="17" xfId="0" applyFont="1" applyFill="1" applyBorder="1" applyAlignment="1">
      <alignment horizontal="right" vertical="center" indent="2"/>
    </xf>
    <xf numFmtId="0" fontId="2" fillId="0" borderId="16" xfId="0" applyFont="1" applyBorder="1" applyAlignment="1">
      <alignment horizontal="right" vertical="center" indent="2"/>
    </xf>
    <xf numFmtId="0" fontId="2" fillId="0" borderId="17" xfId="0" applyFont="1" applyBorder="1" applyAlignment="1">
      <alignment horizontal="right" vertical="center" indent="2"/>
    </xf>
    <xf numFmtId="0" fontId="2" fillId="3" borderId="16" xfId="0" applyFont="1" applyFill="1" applyBorder="1" applyAlignment="1">
      <alignment horizontal="right" vertical="center" indent="2"/>
    </xf>
    <xf numFmtId="0" fontId="2" fillId="0" borderId="16" xfId="0" applyFont="1" applyBorder="1" applyAlignment="1">
      <alignment horizontal="right" indent="2"/>
    </xf>
    <xf numFmtId="0" fontId="2" fillId="0" borderId="17" xfId="0" applyFont="1" applyBorder="1" applyAlignment="1">
      <alignment horizontal="right" indent="2"/>
    </xf>
    <xf numFmtId="0" fontId="0" fillId="0" borderId="21" xfId="0" applyBorder="1"/>
    <xf numFmtId="0" fontId="0" fillId="0" borderId="17" xfId="0" applyBorder="1"/>
    <xf numFmtId="164" fontId="0" fillId="0" borderId="16" xfId="0" applyNumberForma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20" xfId="0" applyNumberFormat="1" applyBorder="1" applyAlignment="1">
      <alignment vertical="center"/>
    </xf>
    <xf numFmtId="0" fontId="2" fillId="4" borderId="16" xfId="0" applyFont="1" applyFill="1" applyBorder="1" applyAlignment="1">
      <alignment horizontal="right" vertical="center" indent="2"/>
    </xf>
    <xf numFmtId="0" fontId="2" fillId="4" borderId="17" xfId="0" applyFont="1" applyFill="1" applyBorder="1" applyAlignment="1">
      <alignment horizontal="right" vertical="center" indent="2"/>
    </xf>
    <xf numFmtId="9" fontId="0" fillId="0" borderId="0" xfId="0" applyNumberFormat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 indent="1"/>
    </xf>
    <xf numFmtId="0" fontId="0" fillId="8" borderId="16" xfId="0" applyFill="1" applyBorder="1" applyAlignment="1">
      <alignment horizontal="right" vertical="center" indent="5"/>
    </xf>
    <xf numFmtId="0" fontId="0" fillId="8" borderId="17" xfId="0" applyFill="1" applyBorder="1" applyAlignment="1">
      <alignment horizontal="right" vertical="center" indent="5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180"/>
    </xf>
    <xf numFmtId="0" fontId="0" fillId="0" borderId="24" xfId="0" applyBorder="1" applyAlignment="1">
      <alignment horizontal="center" vertical="center" textRotation="180"/>
    </xf>
    <xf numFmtId="0" fontId="0" fillId="0" borderId="26" xfId="0" applyBorder="1" applyAlignment="1">
      <alignment horizontal="center" vertical="center" textRotation="180"/>
    </xf>
    <xf numFmtId="0" fontId="2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8" borderId="0" xfId="0" applyFont="1" applyFill="1" applyAlignment="1">
      <alignment horizontal="center" wrapText="1"/>
    </xf>
    <xf numFmtId="0" fontId="2" fillId="8" borderId="9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8" fontId="4" fillId="0" borderId="0" xfId="0" applyNumberFormat="1" applyFont="1"/>
    <xf numFmtId="0" fontId="0" fillId="0" borderId="0" xfId="0" applyAlignment="1">
      <alignment horizontal="left" vertical="center" wrapText="1" indent="1"/>
    </xf>
    <xf numFmtId="0" fontId="0" fillId="0" borderId="16" xfId="0" applyBorder="1" applyAlignment="1">
      <alignment horizontal="right" vertical="center" wrapText="1" indent="5"/>
    </xf>
    <xf numFmtId="0" fontId="0" fillId="0" borderId="17" xfId="0" applyBorder="1" applyAlignment="1">
      <alignment horizontal="right" vertical="center" wrapText="1" indent="5"/>
    </xf>
    <xf numFmtId="0" fontId="0" fillId="0" borderId="20" xfId="0" applyBorder="1" applyAlignment="1">
      <alignment horizontal="left" vertical="center" indent="1"/>
    </xf>
    <xf numFmtId="0" fontId="0" fillId="0" borderId="5" xfId="0" applyBorder="1" applyAlignment="1">
      <alignment horizontal="left" wrapText="1" indent="5"/>
    </xf>
    <xf numFmtId="0" fontId="0" fillId="0" borderId="6" xfId="0" applyBorder="1" applyAlignment="1">
      <alignment horizontal="left" wrapText="1" indent="5"/>
    </xf>
    <xf numFmtId="0" fontId="0" fillId="0" borderId="7" xfId="0" applyBorder="1" applyAlignment="1">
      <alignment horizontal="left" wrapText="1" indent="5"/>
    </xf>
    <xf numFmtId="0" fontId="0" fillId="0" borderId="8" xfId="0" applyBorder="1" applyAlignment="1">
      <alignment horizontal="left" wrapText="1" indent="5"/>
    </xf>
    <xf numFmtId="0" fontId="0" fillId="0" borderId="0" xfId="0" applyAlignment="1">
      <alignment horizontal="left" wrapText="1" indent="5"/>
    </xf>
    <xf numFmtId="0" fontId="0" fillId="0" borderId="9" xfId="0" applyBorder="1" applyAlignment="1">
      <alignment horizontal="left" wrapText="1" indent="5"/>
    </xf>
    <xf numFmtId="0" fontId="0" fillId="0" borderId="10" xfId="0" applyBorder="1" applyAlignment="1">
      <alignment horizontal="left" wrapText="1" indent="5"/>
    </xf>
    <xf numFmtId="0" fontId="0" fillId="0" borderId="11" xfId="0" applyBorder="1" applyAlignment="1">
      <alignment horizontal="left" wrapText="1" indent="5"/>
    </xf>
    <xf numFmtId="0" fontId="0" fillId="0" borderId="12" xfId="0" applyBorder="1" applyAlignment="1">
      <alignment horizontal="left" wrapText="1" indent="5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6" fillId="0" borderId="0" xfId="0" applyFont="1"/>
    <xf numFmtId="8" fontId="0" fillId="9" borderId="5" xfId="0" applyNumberFormat="1" applyFill="1" applyBorder="1" applyAlignment="1">
      <alignment horizontal="center"/>
    </xf>
    <xf numFmtId="8" fontId="0" fillId="9" borderId="6" xfId="0" applyNumberForma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8" fontId="0" fillId="4" borderId="5" xfId="0" applyNumberFormat="1" applyFill="1" applyBorder="1" applyAlignment="1">
      <alignment horizontal="center"/>
    </xf>
    <xf numFmtId="8" fontId="0" fillId="4" borderId="6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8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0" fontId="4" fillId="0" borderId="0" xfId="0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11" xfId="0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0" fontId="4" fillId="0" borderId="9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2" fillId="0" borderId="0" xfId="2" applyNumberFormat="1" applyFont="1" applyBorder="1" applyAlignment="1">
      <alignment horizontal="center"/>
    </xf>
    <xf numFmtId="10" fontId="2" fillId="0" borderId="9" xfId="2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</cellXfs>
  <cellStyles count="4">
    <cellStyle name="Čiarka" xfId="1" builtinId="3"/>
    <cellStyle name="Mena" xfId="3" builtinId="4"/>
    <cellStyle name="Normálna" xfId="0" builtinId="0"/>
    <cellStyle name="Percentá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EDCA5E1-A937-4741-BEBB-B64227B89A8A}">
      <tableStyleElement type="wholeTable" dxfId="1"/>
      <tableStyleElement type="headerRow" dxfId="0"/>
    </tableStyle>
  </tableStyles>
  <colors>
    <mruColors>
      <color rgb="FFF7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199696</xdr:colOff>
      <xdr:row>0</xdr:row>
      <xdr:rowOff>94593</xdr:rowOff>
    </xdr:from>
    <xdr:to>
      <xdr:col>10</xdr:col>
      <xdr:colOff>430924</xdr:colOff>
      <xdr:row>2</xdr:row>
      <xdr:rowOff>147145</xdr:rowOff>
    </xdr:to>
    <xdr:sp macro="" textlink="">
      <xdr:nvSpPr>
        <xdr:cNvPr id="2" name="Šípka: nahor 1">
          <a:extLst>
            <a:ext uri="{FF2B5EF4-FFF2-40B4-BE49-F238E27FC236}">
              <a16:creationId xmlns:a16="http://schemas.microsoft.com/office/drawing/2014/main" id="{3D328EC8-30C2-450C-BD50-20B99AF138B2}"/>
            </a:ext>
          </a:extLst>
        </xdr:cNvPr>
        <xdr:cNvSpPr/>
      </xdr:nvSpPr>
      <xdr:spPr>
        <a:xfrm>
          <a:off x="7241627" y="94593"/>
          <a:ext cx="231228" cy="504497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853B-85AF-4171-BEFA-4A0CAF69F449}">
  <dimension ref="A1:O2"/>
  <sheetViews>
    <sheetView tabSelected="1" zoomScale="145" zoomScaleNormal="145" workbookViewId="0"/>
  </sheetViews>
  <sheetFormatPr defaultRowHeight="15" x14ac:dyDescent="0.25"/>
  <sheetData>
    <row r="1" spans="1:15" x14ac:dyDescent="0.25">
      <c r="A1" t="s">
        <v>192</v>
      </c>
    </row>
    <row r="2" spans="1:15" ht="72.599999999999994" customHeight="1" x14ac:dyDescent="0.25">
      <c r="B2" s="102" t="s">
        <v>30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</sheetData>
  <mergeCells count="1">
    <mergeCell ref="B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B992-DEB6-4659-95E5-4A3B12555016}">
  <sheetPr>
    <tabColor rgb="FFFF0000"/>
  </sheetPr>
  <dimension ref="B1:V73"/>
  <sheetViews>
    <sheetView topLeftCell="B1" zoomScale="115" zoomScaleNormal="115" workbookViewId="0">
      <selection activeCell="M17" sqref="M17:N17"/>
    </sheetView>
  </sheetViews>
  <sheetFormatPr defaultRowHeight="15" x14ac:dyDescent="0.25"/>
  <cols>
    <col min="1" max="1" width="1.28515625" customWidth="1"/>
    <col min="2" max="2" width="10.7109375" bestFit="1" customWidth="1"/>
    <col min="3" max="3" width="16.42578125" bestFit="1" customWidth="1"/>
    <col min="4" max="4" width="8.85546875" bestFit="1" customWidth="1"/>
    <col min="5" max="5" width="10" bestFit="1" customWidth="1"/>
    <col min="6" max="6" width="10.42578125" customWidth="1"/>
    <col min="9" max="9" width="8.42578125" customWidth="1"/>
    <col min="10" max="10" width="6" customWidth="1"/>
    <col min="12" max="12" width="9.5703125" customWidth="1"/>
    <col min="13" max="13" width="8.85546875" customWidth="1"/>
    <col min="14" max="14" width="8.7109375" customWidth="1"/>
    <col min="15" max="15" width="13.5703125" customWidth="1"/>
  </cols>
  <sheetData>
    <row r="1" spans="2:22" ht="18.75" x14ac:dyDescent="0.3">
      <c r="C1" s="115" t="s">
        <v>0</v>
      </c>
      <c r="D1" s="115"/>
      <c r="E1" s="115"/>
      <c r="F1" s="115"/>
      <c r="G1" s="115"/>
      <c r="H1" s="115"/>
      <c r="I1" s="115"/>
      <c r="J1" s="115"/>
      <c r="K1" s="115"/>
    </row>
    <row r="4" spans="2:22" ht="41.45" customHeight="1" x14ac:dyDescent="0.25">
      <c r="C4" s="110" t="s">
        <v>159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2:22" ht="15.75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2" ht="15.75" x14ac:dyDescent="0.25">
      <c r="B6" s="118" t="s">
        <v>11</v>
      </c>
      <c r="C6" s="118"/>
      <c r="D6" s="116" t="s">
        <v>22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2"/>
      <c r="V6" s="2"/>
    </row>
    <row r="7" spans="2:22" ht="15.75" x14ac:dyDescent="0.25">
      <c r="B7" s="26"/>
      <c r="C7" s="26"/>
      <c r="D7" s="126" t="s">
        <v>58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U7" s="2"/>
      <c r="V7" s="2"/>
    </row>
    <row r="8" spans="2:22" ht="15.75" x14ac:dyDescent="0.25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2:22" ht="15.75" x14ac:dyDescent="0.25">
      <c r="B9" s="118" t="s">
        <v>21</v>
      </c>
      <c r="C9" s="118"/>
      <c r="D9" s="210">
        <f>FV(0.03, 5, -100)</f>
        <v>530.91358099999957</v>
      </c>
      <c r="E9" s="210"/>
      <c r="F9" s="111" t="str">
        <f ca="1">_xlfn.FORMULATEXT(D9)</f>
        <v>=FV(0,03; 5; -100)</v>
      </c>
      <c r="G9" s="111"/>
      <c r="H9" s="111"/>
      <c r="K9" s="38"/>
      <c r="L9" s="38"/>
      <c r="M9" s="38"/>
      <c r="Q9" s="38"/>
      <c r="R9" s="2"/>
      <c r="S9" s="2"/>
      <c r="T9" s="2"/>
      <c r="U9" s="2"/>
      <c r="V9" s="2"/>
    </row>
    <row r="10" spans="2:22" ht="15.75" x14ac:dyDescent="0.25">
      <c r="C10" s="7"/>
      <c r="D10" s="127" t="s">
        <v>60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2"/>
      <c r="T10" s="2"/>
      <c r="U10" s="2"/>
      <c r="V10" s="2"/>
    </row>
    <row r="11" spans="2:22" ht="15.75" x14ac:dyDescent="0.25"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2:22" ht="15.75" x14ac:dyDescent="0.25">
      <c r="C12" s="111" t="s">
        <v>24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</row>
    <row r="13" spans="2:22" ht="45.75" thickBot="1" x14ac:dyDescent="0.3">
      <c r="B13" s="4" t="s">
        <v>3</v>
      </c>
    </row>
    <row r="14" spans="2:22" ht="56.45" customHeight="1" thickBot="1" x14ac:dyDescent="0.3">
      <c r="C14" s="8" t="s">
        <v>1</v>
      </c>
      <c r="D14" s="112" t="s">
        <v>91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4"/>
    </row>
    <row r="15" spans="2:22" ht="14.45" customHeight="1" x14ac:dyDescent="0.25">
      <c r="C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4"/>
    </row>
    <row r="16" spans="2:22" x14ac:dyDescent="0.25">
      <c r="C16" s="19"/>
      <c r="D16" s="161" t="s">
        <v>40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"/>
      <c r="Q16" s="1"/>
      <c r="R16" s="1"/>
      <c r="S16" s="1"/>
      <c r="T16" s="24"/>
    </row>
    <row r="17" spans="3:20" ht="43.15" customHeight="1" x14ac:dyDescent="0.25">
      <c r="C17" s="19"/>
      <c r="D17" s="141" t="s">
        <v>51</v>
      </c>
      <c r="E17" s="142"/>
      <c r="F17" s="136" t="s">
        <v>52</v>
      </c>
      <c r="G17" s="136"/>
      <c r="H17" s="141" t="s">
        <v>48</v>
      </c>
      <c r="I17" s="142"/>
      <c r="J17" s="166" t="s">
        <v>53</v>
      </c>
      <c r="K17" s="167"/>
      <c r="L17" s="31" t="s">
        <v>42</v>
      </c>
      <c r="M17" s="141" t="s">
        <v>50</v>
      </c>
      <c r="N17" s="142"/>
      <c r="O17" s="194" t="s">
        <v>55</v>
      </c>
      <c r="P17" s="195"/>
      <c r="Q17" s="195"/>
      <c r="R17" s="195"/>
      <c r="S17" s="196"/>
      <c r="T17" s="24"/>
    </row>
    <row r="18" spans="3:20" x14ac:dyDescent="0.25">
      <c r="C18" s="27" t="s">
        <v>23</v>
      </c>
      <c r="D18" s="162">
        <v>0.03</v>
      </c>
      <c r="E18" s="163"/>
      <c r="F18" s="128" t="s">
        <v>92</v>
      </c>
      <c r="G18" s="128"/>
      <c r="H18" s="122" t="s">
        <v>13</v>
      </c>
      <c r="I18" s="123"/>
      <c r="J18" s="124">
        <v>1</v>
      </c>
      <c r="K18" s="125"/>
      <c r="L18" s="32">
        <v>0.03</v>
      </c>
      <c r="M18" s="168" t="str">
        <f>D18&amp;" / "&amp;J18</f>
        <v>0,03 / 1</v>
      </c>
      <c r="N18" s="169"/>
      <c r="O18" s="151" t="str">
        <f>H18&amp;" a úroková sadzba je "&amp;D18*100&amp;" % "&amp;F18&amp;"."</f>
        <v>ročne a úroková sadzba je 3 % p. a..</v>
      </c>
      <c r="P18" s="152"/>
      <c r="Q18" s="152"/>
      <c r="R18" s="152"/>
      <c r="S18" s="153"/>
      <c r="T18" s="200" t="s">
        <v>41</v>
      </c>
    </row>
    <row r="19" spans="3:20" x14ac:dyDescent="0.25">
      <c r="C19" s="19"/>
      <c r="D19" s="162">
        <v>0.03</v>
      </c>
      <c r="E19" s="163"/>
      <c r="F19" s="128" t="s">
        <v>92</v>
      </c>
      <c r="G19" s="128"/>
      <c r="H19" s="122" t="s">
        <v>14</v>
      </c>
      <c r="I19" s="123"/>
      <c r="J19" s="124">
        <v>2</v>
      </c>
      <c r="K19" s="125"/>
      <c r="L19" s="33">
        <v>1.4999999999999999E-2</v>
      </c>
      <c r="M19" s="170" t="str">
        <f t="shared" ref="M19:M30" si="0">D19&amp;" / "&amp;J19</f>
        <v>0,03 / 2</v>
      </c>
      <c r="N19" s="171"/>
      <c r="O19" s="151" t="str">
        <f t="shared" ref="O19:O30" si="1">H19&amp;" a úroková sadzba je "&amp;D19*100&amp;" % "&amp;F19&amp;"."</f>
        <v>polročne a úroková sadzba je 3 % p. a..</v>
      </c>
      <c r="P19" s="152"/>
      <c r="Q19" s="152"/>
      <c r="R19" s="152"/>
      <c r="S19" s="153"/>
      <c r="T19" s="201"/>
    </row>
    <row r="20" spans="3:20" x14ac:dyDescent="0.25">
      <c r="C20" s="19"/>
      <c r="D20" s="164">
        <v>0.03</v>
      </c>
      <c r="E20" s="165"/>
      <c r="F20" s="128" t="s">
        <v>92</v>
      </c>
      <c r="G20" s="128"/>
      <c r="H20" s="122" t="s">
        <v>15</v>
      </c>
      <c r="I20" s="123"/>
      <c r="J20" s="124">
        <v>4</v>
      </c>
      <c r="K20" s="125"/>
      <c r="L20" s="37">
        <v>7.4999999999999997E-3</v>
      </c>
      <c r="M20" s="172" t="str">
        <f t="shared" si="0"/>
        <v>0,03 / 4</v>
      </c>
      <c r="N20" s="173"/>
      <c r="O20" s="151" t="str">
        <f t="shared" si="1"/>
        <v>štvrťročne a úroková sadzba je 3 % p. a..</v>
      </c>
      <c r="P20" s="152"/>
      <c r="Q20" s="152"/>
      <c r="R20" s="152"/>
      <c r="S20" s="153"/>
      <c r="T20" s="201"/>
    </row>
    <row r="21" spans="3:20" x14ac:dyDescent="0.25">
      <c r="C21" s="19"/>
      <c r="D21" s="162">
        <v>0.03</v>
      </c>
      <c r="E21" s="163"/>
      <c r="F21" s="128" t="s">
        <v>92</v>
      </c>
      <c r="G21" s="128"/>
      <c r="H21" s="122" t="s">
        <v>16</v>
      </c>
      <c r="I21" s="123"/>
      <c r="J21" s="124">
        <v>12</v>
      </c>
      <c r="K21" s="125"/>
      <c r="L21" s="33">
        <v>2.5000000000000001E-3</v>
      </c>
      <c r="M21" s="174" t="str">
        <f t="shared" si="0"/>
        <v>0,03 / 12</v>
      </c>
      <c r="N21" s="175"/>
      <c r="O21" s="151" t="str">
        <f t="shared" si="1"/>
        <v>mesačne a úroková sadzba je 3 % p. a..</v>
      </c>
      <c r="P21" s="152"/>
      <c r="Q21" s="152"/>
      <c r="R21" s="152"/>
      <c r="S21" s="153"/>
      <c r="T21" s="201"/>
    </row>
    <row r="22" spans="3:20" x14ac:dyDescent="0.25">
      <c r="C22" s="19"/>
      <c r="D22" s="162">
        <v>0.03</v>
      </c>
      <c r="E22" s="163"/>
      <c r="F22" s="128" t="s">
        <v>93</v>
      </c>
      <c r="G22" s="128"/>
      <c r="H22" s="122" t="s">
        <v>14</v>
      </c>
      <c r="I22" s="123"/>
      <c r="J22" s="124">
        <v>1</v>
      </c>
      <c r="K22" s="125"/>
      <c r="L22" s="32">
        <v>0.03</v>
      </c>
      <c r="M22" s="176" t="str">
        <f t="shared" si="0"/>
        <v>0,03 / 1</v>
      </c>
      <c r="N22" s="169"/>
      <c r="O22" s="151" t="str">
        <f t="shared" si="1"/>
        <v>polročne a úroková sadzba je 3 % p. s..</v>
      </c>
      <c r="P22" s="152"/>
      <c r="Q22" s="152"/>
      <c r="R22" s="152"/>
      <c r="S22" s="153"/>
      <c r="T22" s="201"/>
    </row>
    <row r="23" spans="3:20" x14ac:dyDescent="0.25">
      <c r="C23" s="19"/>
      <c r="D23" s="162">
        <v>0.03</v>
      </c>
      <c r="E23" s="163"/>
      <c r="F23" s="128" t="s">
        <v>93</v>
      </c>
      <c r="G23" s="128"/>
      <c r="H23" s="122" t="s">
        <v>15</v>
      </c>
      <c r="I23" s="123"/>
      <c r="J23" s="124">
        <v>2</v>
      </c>
      <c r="K23" s="125"/>
      <c r="L23" s="33">
        <v>1.4999999999999999E-2</v>
      </c>
      <c r="M23" s="170" t="str">
        <f t="shared" si="0"/>
        <v>0,03 / 2</v>
      </c>
      <c r="N23" s="171"/>
      <c r="O23" s="151" t="str">
        <f t="shared" si="1"/>
        <v>štvrťročne a úroková sadzba je 3 % p. s..</v>
      </c>
      <c r="P23" s="152"/>
      <c r="Q23" s="152"/>
      <c r="R23" s="152"/>
      <c r="S23" s="153"/>
      <c r="T23" s="201"/>
    </row>
    <row r="24" spans="3:20" x14ac:dyDescent="0.25">
      <c r="C24" s="19"/>
      <c r="D24" s="162">
        <v>0.03</v>
      </c>
      <c r="E24" s="163"/>
      <c r="F24" s="128" t="s">
        <v>93</v>
      </c>
      <c r="G24" s="128"/>
      <c r="H24" s="122" t="s">
        <v>16</v>
      </c>
      <c r="I24" s="123"/>
      <c r="J24" s="124">
        <v>6</v>
      </c>
      <c r="K24" s="125"/>
      <c r="L24" s="33">
        <v>5.0000000000000001E-3</v>
      </c>
      <c r="M24" s="174" t="str">
        <f t="shared" si="0"/>
        <v>0,03 / 6</v>
      </c>
      <c r="N24" s="175"/>
      <c r="O24" s="151" t="str">
        <f t="shared" si="1"/>
        <v>mesačne a úroková sadzba je 3 % p. s..</v>
      </c>
      <c r="P24" s="152"/>
      <c r="Q24" s="152"/>
      <c r="R24" s="152"/>
      <c r="S24" s="153"/>
      <c r="T24" s="201"/>
    </row>
    <row r="25" spans="3:20" x14ac:dyDescent="0.25">
      <c r="C25" s="19"/>
      <c r="D25" s="162">
        <v>0.03</v>
      </c>
      <c r="E25" s="163"/>
      <c r="F25" s="128" t="s">
        <v>17</v>
      </c>
      <c r="G25" s="128"/>
      <c r="H25" s="122" t="s">
        <v>16</v>
      </c>
      <c r="I25" s="123"/>
      <c r="J25" s="124">
        <v>4</v>
      </c>
      <c r="K25" s="125"/>
      <c r="L25" s="37">
        <v>7.4999999999999997E-3</v>
      </c>
      <c r="M25" s="185" t="str">
        <f t="shared" si="0"/>
        <v>0,03 / 4</v>
      </c>
      <c r="N25" s="186"/>
      <c r="O25" s="151" t="str">
        <f t="shared" si="1"/>
        <v>mesačne a úroková sadzba je 3 % štvormesačná.</v>
      </c>
      <c r="P25" s="152"/>
      <c r="Q25" s="152"/>
      <c r="R25" s="152"/>
      <c r="S25" s="153"/>
      <c r="T25" s="201"/>
    </row>
    <row r="26" spans="3:20" x14ac:dyDescent="0.25">
      <c r="C26" s="19"/>
      <c r="D26" s="162">
        <v>0.03</v>
      </c>
      <c r="E26" s="163"/>
      <c r="F26" s="128" t="s">
        <v>95</v>
      </c>
      <c r="G26" s="128"/>
      <c r="H26" s="122" t="s">
        <v>18</v>
      </c>
      <c r="I26" s="123"/>
      <c r="J26" s="124">
        <v>7</v>
      </c>
      <c r="K26" s="125"/>
      <c r="L26" s="33">
        <v>4.2857142857142799E-3</v>
      </c>
      <c r="M26" s="174" t="str">
        <f t="shared" si="0"/>
        <v>0,03 / 7</v>
      </c>
      <c r="N26" s="175"/>
      <c r="O26" s="151" t="str">
        <f t="shared" si="1"/>
        <v>denne a úroková sadzba je 3 % p. sept..</v>
      </c>
      <c r="P26" s="152"/>
      <c r="Q26" s="152"/>
      <c r="R26" s="152"/>
      <c r="S26" s="153"/>
      <c r="T26" s="201"/>
    </row>
    <row r="27" spans="3:20" x14ac:dyDescent="0.25">
      <c r="C27" s="19"/>
      <c r="D27" s="162">
        <v>0.03</v>
      </c>
      <c r="E27" s="163"/>
      <c r="F27" s="128" t="s">
        <v>19</v>
      </c>
      <c r="G27" s="128"/>
      <c r="H27" s="122" t="s">
        <v>20</v>
      </c>
      <c r="I27" s="123"/>
      <c r="J27" s="124">
        <v>2</v>
      </c>
      <c r="K27" s="125"/>
      <c r="L27" s="33">
        <v>1.4999999999999999E-2</v>
      </c>
      <c r="M27" s="170" t="str">
        <f t="shared" si="0"/>
        <v>0,03 / 2</v>
      </c>
      <c r="N27" s="171"/>
      <c r="O27" s="151" t="str">
        <f t="shared" si="1"/>
        <v>každých 5 dní a úroková sadzba je 3 % desaťdenná.</v>
      </c>
      <c r="P27" s="152"/>
      <c r="Q27" s="152"/>
      <c r="R27" s="152"/>
      <c r="S27" s="153"/>
      <c r="T27" s="201"/>
    </row>
    <row r="28" spans="3:20" x14ac:dyDescent="0.25">
      <c r="C28" s="19"/>
      <c r="D28" s="162">
        <v>0.03</v>
      </c>
      <c r="E28" s="163"/>
      <c r="F28" s="128" t="s">
        <v>94</v>
      </c>
      <c r="G28" s="128"/>
      <c r="H28" s="122" t="s">
        <v>16</v>
      </c>
      <c r="I28" s="123"/>
      <c r="J28" s="124">
        <v>1</v>
      </c>
      <c r="K28" s="125"/>
      <c r="L28" s="33">
        <v>0.03</v>
      </c>
      <c r="M28" s="176" t="str">
        <f t="shared" si="0"/>
        <v>0,03 / 1</v>
      </c>
      <c r="N28" s="169"/>
      <c r="O28" s="151" t="str">
        <f t="shared" si="1"/>
        <v>mesačne a úroková sadzba je 3 % p. m..</v>
      </c>
      <c r="P28" s="152"/>
      <c r="Q28" s="152"/>
      <c r="R28" s="152"/>
      <c r="S28" s="153"/>
      <c r="T28" s="201"/>
    </row>
    <row r="29" spans="3:20" x14ac:dyDescent="0.25">
      <c r="C29" s="19"/>
      <c r="D29" s="162">
        <v>0.06</v>
      </c>
      <c r="E29" s="163"/>
      <c r="F29" s="128" t="s">
        <v>92</v>
      </c>
      <c r="G29" s="128"/>
      <c r="H29" s="122" t="s">
        <v>14</v>
      </c>
      <c r="I29" s="123"/>
      <c r="J29" s="124">
        <v>2</v>
      </c>
      <c r="K29" s="125"/>
      <c r="L29" s="32">
        <v>0.03</v>
      </c>
      <c r="M29" s="174" t="str">
        <f t="shared" si="0"/>
        <v>0,06 / 2</v>
      </c>
      <c r="N29" s="175"/>
      <c r="O29" s="151" t="str">
        <f t="shared" si="1"/>
        <v>polročne a úroková sadzba je 6 % p. a..</v>
      </c>
      <c r="P29" s="152"/>
      <c r="Q29" s="152"/>
      <c r="R29" s="152"/>
      <c r="S29" s="153"/>
      <c r="T29" s="201"/>
    </row>
    <row r="30" spans="3:20" x14ac:dyDescent="0.25">
      <c r="C30" s="19"/>
      <c r="D30" s="162">
        <v>4.4999999999999998E-2</v>
      </c>
      <c r="E30" s="163"/>
      <c r="F30" s="187" t="s">
        <v>93</v>
      </c>
      <c r="G30" s="128"/>
      <c r="H30" s="122" t="s">
        <v>16</v>
      </c>
      <c r="I30" s="123"/>
      <c r="J30" s="124">
        <v>6</v>
      </c>
      <c r="K30" s="125"/>
      <c r="L30" s="36">
        <v>7.4999999999999997E-3</v>
      </c>
      <c r="M30" s="177" t="str">
        <f t="shared" si="0"/>
        <v>0,045 / 6</v>
      </c>
      <c r="N30" s="178"/>
      <c r="O30" s="151" t="str">
        <f t="shared" si="1"/>
        <v>mesačne a úroková sadzba je 4,5 % p. s..</v>
      </c>
      <c r="P30" s="152"/>
      <c r="Q30" s="152"/>
      <c r="R30" s="152"/>
      <c r="S30" s="153"/>
      <c r="T30" s="201"/>
    </row>
    <row r="31" spans="3:20" x14ac:dyDescent="0.25">
      <c r="C31" s="19"/>
      <c r="D31" s="181"/>
      <c r="E31" s="182"/>
      <c r="F31" s="187"/>
      <c r="G31" s="128"/>
      <c r="H31" s="143"/>
      <c r="I31" s="144"/>
      <c r="J31" s="188"/>
      <c r="K31" s="189"/>
      <c r="L31" s="34"/>
      <c r="M31" s="179"/>
      <c r="N31" s="180"/>
      <c r="O31" s="154"/>
      <c r="P31" s="155"/>
      <c r="Q31" s="155"/>
      <c r="R31" s="155"/>
      <c r="S31" s="156"/>
      <c r="T31" s="201"/>
    </row>
    <row r="32" spans="3:20" x14ac:dyDescent="0.25">
      <c r="C32" s="19"/>
      <c r="D32" s="183"/>
      <c r="E32" s="184"/>
      <c r="F32" s="190"/>
      <c r="G32" s="147"/>
      <c r="H32" s="139"/>
      <c r="I32" s="140"/>
      <c r="J32" s="191"/>
      <c r="K32" s="191"/>
      <c r="L32" s="35"/>
      <c r="M32" s="148"/>
      <c r="N32" s="149"/>
      <c r="O32" s="157"/>
      <c r="P32" s="158"/>
      <c r="Q32" s="158"/>
      <c r="R32" s="158"/>
      <c r="S32" s="159"/>
      <c r="T32" s="202"/>
    </row>
    <row r="33" spans="3:20" x14ac:dyDescent="0.25">
      <c r="C33" s="19"/>
      <c r="D33" s="6"/>
      <c r="E33" s="15"/>
      <c r="J33" s="1"/>
      <c r="K33" s="1"/>
      <c r="L33" s="1"/>
      <c r="M33" s="1"/>
      <c r="N33" s="1"/>
      <c r="O33" s="1"/>
      <c r="P33" s="1"/>
      <c r="Q33" s="1"/>
      <c r="R33" s="1"/>
      <c r="S33" s="1"/>
      <c r="T33" s="13"/>
    </row>
    <row r="34" spans="3:20" x14ac:dyDescent="0.25">
      <c r="C34" s="19"/>
      <c r="D34" s="119" t="s">
        <v>43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1"/>
    </row>
    <row r="35" spans="3:20" x14ac:dyDescent="0.25">
      <c r="C35" s="19"/>
      <c r="D35" s="119" t="s">
        <v>44</v>
      </c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1"/>
    </row>
    <row r="36" spans="3:20" ht="15.75" thickBot="1" x14ac:dyDescent="0.3">
      <c r="C36" s="20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3"/>
    </row>
    <row r="37" spans="3:20" ht="15.75" thickBot="1" x14ac:dyDescent="0.3"/>
    <row r="38" spans="3:20" ht="15" customHeight="1" thickBot="1" x14ac:dyDescent="0.3">
      <c r="C38" s="25" t="s">
        <v>2</v>
      </c>
      <c r="D38" s="104" t="s">
        <v>80</v>
      </c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203"/>
    </row>
    <row r="39" spans="3:20" x14ac:dyDescent="0.25">
      <c r="C39" s="12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204"/>
    </row>
    <row r="40" spans="3:20" ht="25.15" customHeight="1" x14ac:dyDescent="0.25">
      <c r="C40" s="14"/>
      <c r="D40" s="160" t="s">
        <v>39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"/>
      <c r="O40" s="1"/>
      <c r="P40" s="1"/>
      <c r="Q40" s="1"/>
      <c r="R40" s="1"/>
      <c r="S40" s="1"/>
      <c r="T40" s="24"/>
    </row>
    <row r="41" spans="3:20" ht="55.9" customHeight="1" x14ac:dyDescent="0.25">
      <c r="C41" s="14"/>
      <c r="D41" s="39" t="s">
        <v>47</v>
      </c>
      <c r="E41" s="31" t="s">
        <v>46</v>
      </c>
      <c r="F41" s="136" t="s">
        <v>48</v>
      </c>
      <c r="G41" s="136"/>
      <c r="H41" s="141" t="s">
        <v>54</v>
      </c>
      <c r="I41" s="142"/>
      <c r="J41" s="136" t="s">
        <v>49</v>
      </c>
      <c r="K41" s="136"/>
      <c r="L41" s="141" t="s">
        <v>50</v>
      </c>
      <c r="M41" s="142"/>
      <c r="N41" s="197" t="s">
        <v>56</v>
      </c>
      <c r="O41" s="198"/>
      <c r="P41" s="198"/>
      <c r="Q41" s="198"/>
      <c r="R41" s="199"/>
      <c r="T41" s="13"/>
    </row>
    <row r="42" spans="3:20" x14ac:dyDescent="0.25">
      <c r="C42" s="14"/>
      <c r="D42" s="45">
        <v>36</v>
      </c>
      <c r="E42" s="40" t="s">
        <v>36</v>
      </c>
      <c r="F42" s="134" t="s">
        <v>13</v>
      </c>
      <c r="G42" s="134"/>
      <c r="H42" s="129">
        <v>1</v>
      </c>
      <c r="I42" s="130"/>
      <c r="J42" s="128">
        <f>D42*H42</f>
        <v>36</v>
      </c>
      <c r="K42" s="128"/>
      <c r="L42" s="137" t="str">
        <f>D42&amp;" * "&amp;H42</f>
        <v>36 * 1</v>
      </c>
      <c r="M42" s="138"/>
      <c r="N42" s="134" t="str">
        <f>F42 &amp;", po dobu " &amp; D42 &amp;" " &amp; E42&amp;"."</f>
        <v>ročne, po dobu 36 rokov.</v>
      </c>
      <c r="O42" s="134"/>
      <c r="P42" s="134"/>
      <c r="Q42" s="134"/>
      <c r="R42" s="123"/>
      <c r="S42" s="1"/>
      <c r="T42" s="24"/>
    </row>
    <row r="43" spans="3:20" x14ac:dyDescent="0.25">
      <c r="C43" s="14"/>
      <c r="D43" s="45">
        <v>18</v>
      </c>
      <c r="E43" s="40" t="s">
        <v>36</v>
      </c>
      <c r="F43" s="134" t="s">
        <v>14</v>
      </c>
      <c r="G43" s="134"/>
      <c r="H43" s="129">
        <v>2</v>
      </c>
      <c r="I43" s="130"/>
      <c r="J43" s="128">
        <f t="shared" ref="J43:J50" si="2">D43*H43</f>
        <v>36</v>
      </c>
      <c r="K43" s="128"/>
      <c r="L43" s="143" t="str">
        <f t="shared" ref="L43:L48" si="3">D43&amp;" * "&amp;H43</f>
        <v>18 * 2</v>
      </c>
      <c r="M43" s="144"/>
      <c r="N43" s="134" t="str">
        <f t="shared" ref="N43:N50" si="4">F43 &amp;", po dobu " &amp; D43 &amp;" " &amp; E43&amp;"."</f>
        <v>polročne, po dobu 18 rokov.</v>
      </c>
      <c r="O43" s="134"/>
      <c r="P43" s="134"/>
      <c r="Q43" s="134"/>
      <c r="R43" s="123"/>
      <c r="S43" s="1"/>
      <c r="T43" s="24"/>
    </row>
    <row r="44" spans="3:20" x14ac:dyDescent="0.25">
      <c r="C44" s="14"/>
      <c r="D44" s="45">
        <v>9</v>
      </c>
      <c r="E44" s="40" t="s">
        <v>36</v>
      </c>
      <c r="F44" s="134" t="s">
        <v>15</v>
      </c>
      <c r="G44" s="134"/>
      <c r="H44" s="129">
        <v>4</v>
      </c>
      <c r="I44" s="130"/>
      <c r="J44" s="128">
        <f t="shared" si="2"/>
        <v>36</v>
      </c>
      <c r="K44" s="128"/>
      <c r="L44" s="145" t="str">
        <f t="shared" si="3"/>
        <v>9 * 4</v>
      </c>
      <c r="M44" s="146"/>
      <c r="N44" s="134" t="str">
        <f t="shared" si="4"/>
        <v>štvrťročne, po dobu 9 rokov.</v>
      </c>
      <c r="O44" s="134"/>
      <c r="P44" s="134"/>
      <c r="Q44" s="134"/>
      <c r="R44" s="123"/>
      <c r="S44" s="1"/>
      <c r="T44" s="24"/>
    </row>
    <row r="45" spans="3:20" x14ac:dyDescent="0.25">
      <c r="C45" s="14"/>
      <c r="D45" s="46">
        <v>3</v>
      </c>
      <c r="E45" s="41" t="s">
        <v>35</v>
      </c>
      <c r="F45" s="133" t="s">
        <v>16</v>
      </c>
      <c r="G45" s="133"/>
      <c r="H45" s="192">
        <v>12</v>
      </c>
      <c r="I45" s="193"/>
      <c r="J45" s="128">
        <f t="shared" si="2"/>
        <v>36</v>
      </c>
      <c r="K45" s="128"/>
      <c r="L45" s="143" t="str">
        <f t="shared" si="3"/>
        <v>3 * 12</v>
      </c>
      <c r="M45" s="144"/>
      <c r="N45" s="133" t="str">
        <f t="shared" si="4"/>
        <v>mesačne, po dobu 3 roky.</v>
      </c>
      <c r="O45" s="133"/>
      <c r="P45" s="133"/>
      <c r="Q45" s="133"/>
      <c r="R45" s="150"/>
      <c r="S45" s="207" t="s">
        <v>90</v>
      </c>
      <c r="T45" s="208"/>
    </row>
    <row r="46" spans="3:20" x14ac:dyDescent="0.25">
      <c r="C46" s="14"/>
      <c r="D46" s="46">
        <v>36</v>
      </c>
      <c r="E46" s="41" t="s">
        <v>34</v>
      </c>
      <c r="F46" s="133" t="s">
        <v>16</v>
      </c>
      <c r="G46" s="133"/>
      <c r="H46" s="192">
        <v>1</v>
      </c>
      <c r="I46" s="193"/>
      <c r="J46" s="128">
        <f t="shared" si="2"/>
        <v>36</v>
      </c>
      <c r="K46" s="128"/>
      <c r="L46" s="137" t="str">
        <f t="shared" si="3"/>
        <v>36 * 1</v>
      </c>
      <c r="M46" s="138"/>
      <c r="N46" s="133" t="str">
        <f t="shared" si="4"/>
        <v>mesačne, po dobu 36 mesiacov.</v>
      </c>
      <c r="O46" s="133"/>
      <c r="P46" s="133"/>
      <c r="Q46" s="133"/>
      <c r="R46" s="150"/>
      <c r="S46" s="207"/>
      <c r="T46" s="208"/>
    </row>
    <row r="47" spans="3:20" x14ac:dyDescent="0.25">
      <c r="C47" s="14"/>
      <c r="D47" s="45">
        <v>36</v>
      </c>
      <c r="E47" s="40" t="s">
        <v>33</v>
      </c>
      <c r="F47" s="134" t="s">
        <v>37</v>
      </c>
      <c r="G47" s="134"/>
      <c r="H47" s="129">
        <v>1</v>
      </c>
      <c r="I47" s="130"/>
      <c r="J47" s="128">
        <f t="shared" si="2"/>
        <v>36</v>
      </c>
      <c r="K47" s="128"/>
      <c r="L47" s="137" t="str">
        <f t="shared" si="3"/>
        <v>36 * 1</v>
      </c>
      <c r="M47" s="138"/>
      <c r="N47" s="134" t="str">
        <f t="shared" si="4"/>
        <v>týždenne, po dobu 36 týždňov.</v>
      </c>
      <c r="O47" s="134"/>
      <c r="P47" s="134"/>
      <c r="Q47" s="134"/>
      <c r="R47" s="123"/>
      <c r="S47" s="1"/>
      <c r="T47" s="24"/>
    </row>
    <row r="48" spans="3:20" x14ac:dyDescent="0.25">
      <c r="C48" s="14"/>
      <c r="D48" s="45">
        <v>36</v>
      </c>
      <c r="E48" s="40" t="s">
        <v>32</v>
      </c>
      <c r="F48" s="134" t="s">
        <v>38</v>
      </c>
      <c r="G48" s="134"/>
      <c r="H48" s="129">
        <v>1</v>
      </c>
      <c r="I48" s="130"/>
      <c r="J48" s="128">
        <f t="shared" si="2"/>
        <v>36</v>
      </c>
      <c r="K48" s="128"/>
      <c r="L48" s="137" t="str">
        <f t="shared" si="3"/>
        <v>36 * 1</v>
      </c>
      <c r="M48" s="138"/>
      <c r="N48" s="134" t="str">
        <f t="shared" si="4"/>
        <v>každú sekundu, po dobu 36 sekúnd.</v>
      </c>
      <c r="O48" s="134"/>
      <c r="P48" s="134"/>
      <c r="Q48" s="134"/>
      <c r="R48" s="123"/>
      <c r="S48" s="1"/>
      <c r="T48" s="24"/>
    </row>
    <row r="49" spans="3:22" ht="34.15" customHeight="1" x14ac:dyDescent="0.25">
      <c r="C49" s="14"/>
      <c r="D49" s="45">
        <v>9</v>
      </c>
      <c r="E49" s="40" t="s">
        <v>31</v>
      </c>
      <c r="F49" s="211" t="s">
        <v>57</v>
      </c>
      <c r="G49" s="211"/>
      <c r="H49" s="212">
        <v>4</v>
      </c>
      <c r="I49" s="213"/>
      <c r="J49" s="128">
        <f t="shared" ref="J49" si="5">D49*H49</f>
        <v>36</v>
      </c>
      <c r="K49" s="128"/>
      <c r="L49" s="145" t="str">
        <f t="shared" ref="L49" si="6">D49&amp;" * "&amp;H49</f>
        <v>9 * 4</v>
      </c>
      <c r="M49" s="146"/>
      <c r="N49" s="134" t="str">
        <f t="shared" ref="N49" si="7">F49 &amp;", po dobu " &amp; D49 &amp;" " &amp; E49&amp;"."</f>
        <v>každých 6 hodín 
(každý štvrťdeň), po dobu 9 dní.</v>
      </c>
      <c r="O49" s="134"/>
      <c r="P49" s="134"/>
      <c r="Q49" s="134"/>
      <c r="R49" s="123"/>
      <c r="S49" s="1"/>
      <c r="T49" s="24"/>
    </row>
    <row r="50" spans="3:22" x14ac:dyDescent="0.25">
      <c r="C50" s="14"/>
      <c r="D50" s="47">
        <v>216</v>
      </c>
      <c r="E50" s="42" t="s">
        <v>34</v>
      </c>
      <c r="F50" s="135" t="s">
        <v>14</v>
      </c>
      <c r="G50" s="135"/>
      <c r="H50" s="131">
        <f>1/6</f>
        <v>0.16666666666666666</v>
      </c>
      <c r="I50" s="132"/>
      <c r="J50" s="147">
        <f t="shared" si="2"/>
        <v>36</v>
      </c>
      <c r="K50" s="147"/>
      <c r="L50" s="139" t="str">
        <f>D50&amp;" * "&amp;TEXT(H50,"#?/?")</f>
        <v>216 * 1/6</v>
      </c>
      <c r="M50" s="140"/>
      <c r="N50" s="191" t="str">
        <f t="shared" si="4"/>
        <v>polročne, po dobu 216 mesiacov.</v>
      </c>
      <c r="O50" s="191"/>
      <c r="P50" s="191"/>
      <c r="Q50" s="191"/>
      <c r="R50" s="214"/>
      <c r="S50" s="1"/>
      <c r="T50" s="24"/>
    </row>
    <row r="51" spans="3:22" x14ac:dyDescent="0.25">
      <c r="C51" s="14"/>
      <c r="T51" s="13"/>
    </row>
    <row r="52" spans="3:22" ht="15.75" thickBot="1" x14ac:dyDescent="0.3">
      <c r="C52" s="16"/>
      <c r="D52" s="107" t="s">
        <v>45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9"/>
    </row>
    <row r="53" spans="3:22" ht="15.75" thickBot="1" x14ac:dyDescent="0.3"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3:22" ht="15" customHeight="1" thickBot="1" x14ac:dyDescent="0.3">
      <c r="C54" s="25" t="s">
        <v>4</v>
      </c>
      <c r="D54" s="209" t="s">
        <v>12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43"/>
      <c r="Q54" s="43"/>
      <c r="R54" s="43"/>
      <c r="S54" s="43"/>
      <c r="T54" s="44"/>
    </row>
    <row r="55" spans="3:22" x14ac:dyDescent="0.25">
      <c r="C55" s="14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4"/>
    </row>
    <row r="56" spans="3:22" ht="14.45" customHeight="1" x14ac:dyDescent="0.25">
      <c r="C56" s="14"/>
      <c r="D56" s="119" t="s">
        <v>25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"/>
      <c r="Q56" s="1"/>
      <c r="R56" s="1"/>
      <c r="S56" s="1"/>
      <c r="T56" s="24"/>
    </row>
    <row r="57" spans="3:22" x14ac:dyDescent="0.25">
      <c r="C57" s="14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4"/>
    </row>
    <row r="58" spans="3:22" x14ac:dyDescent="0.25">
      <c r="C58" s="14"/>
      <c r="D58" s="119" t="s">
        <v>26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1"/>
    </row>
    <row r="59" spans="3:22" x14ac:dyDescent="0.25">
      <c r="C59" s="14"/>
      <c r="D59" s="119" t="s">
        <v>27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1"/>
    </row>
    <row r="60" spans="3:22" x14ac:dyDescent="0.25">
      <c r="C60" s="14"/>
      <c r="D60" s="119" t="s">
        <v>59</v>
      </c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1"/>
    </row>
    <row r="61" spans="3:22" x14ac:dyDescent="0.25">
      <c r="C61" s="14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4"/>
    </row>
    <row r="62" spans="3:22" ht="14.45" customHeight="1" x14ac:dyDescent="0.25">
      <c r="C62" s="29">
        <f>FV(0.03, 5, -100)</f>
        <v>530.91358099999957</v>
      </c>
      <c r="D62" s="119" t="str">
        <f ca="1">_xlfn.FORMULATEXT(C62)</f>
        <v>=FV(0,03; 5; -100)</v>
      </c>
      <c r="E62" s="119"/>
      <c r="F62" s="119" t="s">
        <v>29</v>
      </c>
      <c r="G62" s="119"/>
      <c r="H62" s="119"/>
      <c r="I62" s="119"/>
      <c r="J62" s="119"/>
      <c r="K62" s="119"/>
      <c r="L62" s="119"/>
      <c r="M62" s="119"/>
      <c r="N62" s="119"/>
      <c r="O62" s="119"/>
      <c r="P62" s="1"/>
      <c r="Q62" s="1"/>
      <c r="R62" s="1"/>
      <c r="S62" s="1"/>
      <c r="T62" s="24"/>
    </row>
    <row r="63" spans="3:22" ht="14.45" customHeight="1" x14ac:dyDescent="0.25">
      <c r="C63" s="29">
        <f>FV(0.03, 5, 100)</f>
        <v>-530.91358099999957</v>
      </c>
      <c r="D63" s="119" t="str">
        <f ca="1">_xlfn.FORMULATEXT(C63)</f>
        <v>=FV(0,03; 5; 100)</v>
      </c>
      <c r="E63" s="119"/>
      <c r="F63" s="119" t="s">
        <v>28</v>
      </c>
      <c r="G63" s="119"/>
      <c r="H63" s="119"/>
      <c r="I63" s="119"/>
      <c r="J63" s="119"/>
      <c r="K63" s="119"/>
      <c r="L63" s="119"/>
      <c r="M63" s="119"/>
      <c r="N63" s="119"/>
      <c r="O63" s="119"/>
      <c r="P63" s="1"/>
      <c r="Q63" s="1"/>
      <c r="R63" s="1"/>
      <c r="S63" s="1"/>
      <c r="T63" s="24"/>
    </row>
    <row r="64" spans="3:22" ht="15.75" thickBot="1" x14ac:dyDescent="0.3">
      <c r="C64" s="2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8"/>
    </row>
    <row r="65" spans="2:20" x14ac:dyDescent="0.25">
      <c r="C65" s="5"/>
    </row>
    <row r="66" spans="2:20" x14ac:dyDescent="0.25">
      <c r="C66" s="5"/>
    </row>
    <row r="67" spans="2:20" x14ac:dyDescent="0.25">
      <c r="D67" s="119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</row>
    <row r="68" spans="2:20" ht="60.75" thickBot="1" x14ac:dyDescent="0.3">
      <c r="B68" s="4" t="s">
        <v>8</v>
      </c>
    </row>
    <row r="69" spans="2:20" ht="15" customHeight="1" thickBot="1" x14ac:dyDescent="0.3">
      <c r="C69" s="25" t="s">
        <v>9</v>
      </c>
      <c r="D69" s="112" t="s">
        <v>160</v>
      </c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4"/>
    </row>
    <row r="70" spans="2:20" ht="15.75" thickBot="1" x14ac:dyDescent="0.3">
      <c r="C70" s="49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6"/>
    </row>
    <row r="71" spans="2:20" ht="15.75" thickBot="1" x14ac:dyDescent="0.3">
      <c r="C71" s="1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ht="15.75" thickBot="1" x14ac:dyDescent="0.3">
      <c r="C72" s="25" t="s">
        <v>10</v>
      </c>
      <c r="D72" s="104" t="s">
        <v>162</v>
      </c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6"/>
    </row>
    <row r="73" spans="2:20" ht="15.75" thickBot="1" x14ac:dyDescent="0.3">
      <c r="C73" s="16"/>
      <c r="D73" s="107" t="s">
        <v>161</v>
      </c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9"/>
    </row>
  </sheetData>
  <mergeCells count="178">
    <mergeCell ref="H46:I46"/>
    <mergeCell ref="N41:R41"/>
    <mergeCell ref="T18:T32"/>
    <mergeCell ref="D34:T34"/>
    <mergeCell ref="N49:R49"/>
    <mergeCell ref="D38:T39"/>
    <mergeCell ref="D69:T70"/>
    <mergeCell ref="D73:T73"/>
    <mergeCell ref="F9:H9"/>
    <mergeCell ref="S45:T46"/>
    <mergeCell ref="F62:O62"/>
    <mergeCell ref="F63:O63"/>
    <mergeCell ref="D56:O56"/>
    <mergeCell ref="D54:O54"/>
    <mergeCell ref="D9:E9"/>
    <mergeCell ref="F49:G49"/>
    <mergeCell ref="H49:I49"/>
    <mergeCell ref="J49:K49"/>
    <mergeCell ref="N47:R47"/>
    <mergeCell ref="N48:R48"/>
    <mergeCell ref="N50:R50"/>
    <mergeCell ref="H41:I41"/>
    <mergeCell ref="H42:I42"/>
    <mergeCell ref="H43:I43"/>
    <mergeCell ref="H44:I44"/>
    <mergeCell ref="H45:I45"/>
    <mergeCell ref="O23:S23"/>
    <mergeCell ref="O24:S24"/>
    <mergeCell ref="O25:S25"/>
    <mergeCell ref="O26:S26"/>
    <mergeCell ref="O27:S27"/>
    <mergeCell ref="O28:S28"/>
    <mergeCell ref="O17:S17"/>
    <mergeCell ref="O18:S18"/>
    <mergeCell ref="O19:S19"/>
    <mergeCell ref="O20:S20"/>
    <mergeCell ref="O21:S21"/>
    <mergeCell ref="O22:S22"/>
    <mergeCell ref="H18:I18"/>
    <mergeCell ref="H20:I20"/>
    <mergeCell ref="J20:K20"/>
    <mergeCell ref="H23:I23"/>
    <mergeCell ref="H24:I24"/>
    <mergeCell ref="J18:K18"/>
    <mergeCell ref="J19:K19"/>
    <mergeCell ref="J21:K21"/>
    <mergeCell ref="D32:E32"/>
    <mergeCell ref="M24:N24"/>
    <mergeCell ref="M25:N25"/>
    <mergeCell ref="M26:N26"/>
    <mergeCell ref="M27:N27"/>
    <mergeCell ref="D29:E29"/>
    <mergeCell ref="J24:K24"/>
    <mergeCell ref="D24:E24"/>
    <mergeCell ref="D25:E25"/>
    <mergeCell ref="F29:G29"/>
    <mergeCell ref="H29:I29"/>
    <mergeCell ref="M28:N28"/>
    <mergeCell ref="M29:N29"/>
    <mergeCell ref="F31:G31"/>
    <mergeCell ref="H31:I31"/>
    <mergeCell ref="J31:K31"/>
    <mergeCell ref="F32:G32"/>
    <mergeCell ref="H32:I32"/>
    <mergeCell ref="J32:K32"/>
    <mergeCell ref="J29:K29"/>
    <mergeCell ref="F30:G30"/>
    <mergeCell ref="H30:I30"/>
    <mergeCell ref="F24:G24"/>
    <mergeCell ref="F25:G25"/>
    <mergeCell ref="F26:G26"/>
    <mergeCell ref="M30:N30"/>
    <mergeCell ref="M31:N31"/>
    <mergeCell ref="J30:K30"/>
    <mergeCell ref="D26:E26"/>
    <mergeCell ref="D27:E27"/>
    <mergeCell ref="D28:E28"/>
    <mergeCell ref="D30:E30"/>
    <mergeCell ref="D31:E31"/>
    <mergeCell ref="H28:I28"/>
    <mergeCell ref="J28:K28"/>
    <mergeCell ref="H27:I27"/>
    <mergeCell ref="J27:K27"/>
    <mergeCell ref="D16:O16"/>
    <mergeCell ref="J23:K23"/>
    <mergeCell ref="M17:N17"/>
    <mergeCell ref="D17:E17"/>
    <mergeCell ref="D18:E18"/>
    <mergeCell ref="D19:E19"/>
    <mergeCell ref="D20:E20"/>
    <mergeCell ref="D21:E21"/>
    <mergeCell ref="D22:E22"/>
    <mergeCell ref="D23:E23"/>
    <mergeCell ref="F17:G17"/>
    <mergeCell ref="H17:I17"/>
    <mergeCell ref="H19:I19"/>
    <mergeCell ref="J17:K17"/>
    <mergeCell ref="M18:N18"/>
    <mergeCell ref="M19:N19"/>
    <mergeCell ref="M20:N20"/>
    <mergeCell ref="M21:N21"/>
    <mergeCell ref="M22:N22"/>
    <mergeCell ref="M23:N23"/>
    <mergeCell ref="F18:G18"/>
    <mergeCell ref="F22:G22"/>
    <mergeCell ref="F23:G23"/>
    <mergeCell ref="J48:K48"/>
    <mergeCell ref="J50:K50"/>
    <mergeCell ref="J41:K41"/>
    <mergeCell ref="J42:K42"/>
    <mergeCell ref="J43:K43"/>
    <mergeCell ref="J44:K44"/>
    <mergeCell ref="L47:M47"/>
    <mergeCell ref="L49:M49"/>
    <mergeCell ref="F21:G21"/>
    <mergeCell ref="J22:K22"/>
    <mergeCell ref="H22:I22"/>
    <mergeCell ref="H21:I21"/>
    <mergeCell ref="M32:N32"/>
    <mergeCell ref="N42:R42"/>
    <mergeCell ref="N43:R43"/>
    <mergeCell ref="N44:R44"/>
    <mergeCell ref="N45:R45"/>
    <mergeCell ref="N46:R46"/>
    <mergeCell ref="O29:S29"/>
    <mergeCell ref="O30:S30"/>
    <mergeCell ref="O31:S31"/>
    <mergeCell ref="O32:S32"/>
    <mergeCell ref="D40:M40"/>
    <mergeCell ref="D35:T35"/>
    <mergeCell ref="C12:V12"/>
    <mergeCell ref="H48:I48"/>
    <mergeCell ref="H50:I50"/>
    <mergeCell ref="F46:G46"/>
    <mergeCell ref="F47:G47"/>
    <mergeCell ref="F48:G48"/>
    <mergeCell ref="F50:G50"/>
    <mergeCell ref="F41:G41"/>
    <mergeCell ref="F42:G42"/>
    <mergeCell ref="F43:G43"/>
    <mergeCell ref="F44:G44"/>
    <mergeCell ref="F45:G45"/>
    <mergeCell ref="H47:I47"/>
    <mergeCell ref="L48:M48"/>
    <mergeCell ref="L50:M50"/>
    <mergeCell ref="L41:M41"/>
    <mergeCell ref="L42:M42"/>
    <mergeCell ref="L43:M43"/>
    <mergeCell ref="L44:M44"/>
    <mergeCell ref="L45:M45"/>
    <mergeCell ref="L46:M46"/>
    <mergeCell ref="J45:K45"/>
    <mergeCell ref="J46:K46"/>
    <mergeCell ref="J47:K47"/>
    <mergeCell ref="D72:T72"/>
    <mergeCell ref="D52:T52"/>
    <mergeCell ref="C4:V4"/>
    <mergeCell ref="D14:T14"/>
    <mergeCell ref="C1:K1"/>
    <mergeCell ref="D6:T6"/>
    <mergeCell ref="B6:C6"/>
    <mergeCell ref="B9:C9"/>
    <mergeCell ref="D58:T58"/>
    <mergeCell ref="D59:T59"/>
    <mergeCell ref="D60:T60"/>
    <mergeCell ref="D67:T67"/>
    <mergeCell ref="D62:E62"/>
    <mergeCell ref="D63:E63"/>
    <mergeCell ref="H25:I25"/>
    <mergeCell ref="J25:K25"/>
    <mergeCell ref="D7:Q7"/>
    <mergeCell ref="D10:R10"/>
    <mergeCell ref="F19:G19"/>
    <mergeCell ref="F20:G20"/>
    <mergeCell ref="F27:G27"/>
    <mergeCell ref="F28:G28"/>
    <mergeCell ref="H26:I26"/>
    <mergeCell ref="J26:K26"/>
  </mergeCells>
  <phoneticPr fontId="8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87D1-E117-4D35-A5AB-3C839EA1B424}">
  <dimension ref="B1:N23"/>
  <sheetViews>
    <sheetView zoomScale="130" zoomScaleNormal="130" workbookViewId="0"/>
  </sheetViews>
  <sheetFormatPr defaultColWidth="8.85546875" defaultRowHeight="15" outlineLevelCol="1" x14ac:dyDescent="0.25"/>
  <cols>
    <col min="1" max="1" width="4.5703125" customWidth="1"/>
    <col min="4" max="5" width="15.85546875" customWidth="1"/>
    <col min="6" max="6" width="8.7109375" customWidth="1"/>
    <col min="7" max="7" width="9.42578125" customWidth="1"/>
    <col min="8" max="8" width="10.28515625" customWidth="1"/>
    <col min="9" max="9" width="20.140625" customWidth="1"/>
    <col min="10" max="10" width="24" hidden="1" customWidth="1" outlineLevel="1"/>
    <col min="11" max="11" width="8.85546875" collapsed="1"/>
  </cols>
  <sheetData>
    <row r="1" spans="2:14" ht="14.45" customHeight="1" x14ac:dyDescent="0.25">
      <c r="K1" s="215" t="s">
        <v>77</v>
      </c>
      <c r="L1" s="216"/>
      <c r="M1" s="217"/>
      <c r="N1" s="50"/>
    </row>
    <row r="2" spans="2:14" ht="21" x14ac:dyDescent="0.35">
      <c r="B2" s="48" t="s">
        <v>143</v>
      </c>
      <c r="K2" s="218"/>
      <c r="L2" s="219"/>
      <c r="M2" s="220"/>
      <c r="N2" s="50"/>
    </row>
    <row r="3" spans="2:14" ht="15.75" thickBot="1" x14ac:dyDescent="0.3">
      <c r="K3" s="221"/>
      <c r="L3" s="222"/>
      <c r="M3" s="223"/>
      <c r="N3" s="50"/>
    </row>
    <row r="4" spans="2:14" x14ac:dyDescent="0.25">
      <c r="C4" s="1" t="s">
        <v>70</v>
      </c>
    </row>
    <row r="5" spans="2:14" ht="15.75" thickBot="1" x14ac:dyDescent="0.3">
      <c r="C5" t="s">
        <v>89</v>
      </c>
    </row>
    <row r="6" spans="2:14" ht="15.75" thickBot="1" x14ac:dyDescent="0.3">
      <c r="B6" s="51"/>
      <c r="C6" s="224" t="s">
        <v>69</v>
      </c>
      <c r="D6" s="225"/>
      <c r="E6" s="52" t="s">
        <v>72</v>
      </c>
      <c r="F6" s="224" t="s">
        <v>71</v>
      </c>
      <c r="G6" s="225"/>
      <c r="H6" s="52" t="s">
        <v>74</v>
      </c>
      <c r="I6" s="53" t="s">
        <v>5</v>
      </c>
    </row>
    <row r="7" spans="2:14" x14ac:dyDescent="0.25">
      <c r="B7" s="12" t="s">
        <v>61</v>
      </c>
      <c r="C7" s="14">
        <f ca="1">RANDBETWEEN(5,20)</f>
        <v>12</v>
      </c>
      <c r="D7" s="13" t="s">
        <v>36</v>
      </c>
      <c r="E7" t="s">
        <v>13</v>
      </c>
      <c r="F7" s="54">
        <f t="shared" ref="F7:F12" ca="1" si="0">ROUND( RAND()/10,3)</f>
        <v>7.3999999999999996E-2</v>
      </c>
      <c r="G7" s="13" t="s">
        <v>92</v>
      </c>
      <c r="H7" s="55">
        <f t="shared" ref="H7:H13" ca="1" si="1">RANDBETWEEN(2,100)</f>
        <v>80</v>
      </c>
      <c r="I7" s="56">
        <f ca="1">FV(F7/1, C7*1, -H7)</f>
        <v>1465.2193503208421</v>
      </c>
      <c r="J7" s="57" t="str">
        <f t="shared" ref="J7:J13" ca="1" si="2">_xlfn.FORMULATEXT(I7)</f>
        <v>=FV(F7/1; C7*1; -H7)</v>
      </c>
    </row>
    <row r="8" spans="2:14" x14ac:dyDescent="0.25">
      <c r="B8" s="12" t="s">
        <v>62</v>
      </c>
      <c r="C8" s="14">
        <f ca="1">RANDBETWEEN(5,20)</f>
        <v>11</v>
      </c>
      <c r="D8" s="13" t="s">
        <v>34</v>
      </c>
      <c r="E8" t="s">
        <v>16</v>
      </c>
      <c r="F8" s="54">
        <f t="shared" ca="1" si="0"/>
        <v>6.7000000000000004E-2</v>
      </c>
      <c r="G8" s="13" t="s">
        <v>92</v>
      </c>
      <c r="H8" s="55">
        <f t="shared" ca="1" si="1"/>
        <v>56</v>
      </c>
      <c r="I8" s="56">
        <f ca="1">FV(F8/12, C8*1, -H8)</f>
        <v>633.48795260971599</v>
      </c>
      <c r="J8" s="57" t="str">
        <f t="shared" ca="1" si="2"/>
        <v>=FV(F8/12; C8*1; -H8)</v>
      </c>
    </row>
    <row r="9" spans="2:14" x14ac:dyDescent="0.25">
      <c r="B9" s="12" t="s">
        <v>63</v>
      </c>
      <c r="C9" s="14">
        <f ca="1">RANDBETWEEN(5,20)</f>
        <v>12</v>
      </c>
      <c r="D9" s="13" t="s">
        <v>36</v>
      </c>
      <c r="E9" t="s">
        <v>16</v>
      </c>
      <c r="F9" s="54">
        <f t="shared" ca="1" si="0"/>
        <v>8.0000000000000002E-3</v>
      </c>
      <c r="G9" s="13" t="s">
        <v>93</v>
      </c>
      <c r="H9" s="55">
        <f t="shared" ca="1" si="1"/>
        <v>21</v>
      </c>
      <c r="I9" s="56">
        <f ca="1">FV(F9/6, C9*12, -H9)</f>
        <v>3331.3702396302742</v>
      </c>
      <c r="J9" s="57" t="str">
        <f t="shared" ca="1" si="2"/>
        <v>=FV(F9/6; C9*12; -H9)</v>
      </c>
    </row>
    <row r="10" spans="2:14" x14ac:dyDescent="0.25">
      <c r="B10" s="12" t="s">
        <v>64</v>
      </c>
      <c r="C10" s="14">
        <f ca="1">RANDBETWEEN(5,20)*7</f>
        <v>77</v>
      </c>
      <c r="D10" s="13" t="s">
        <v>31</v>
      </c>
      <c r="E10" t="s">
        <v>37</v>
      </c>
      <c r="F10" s="54">
        <f t="shared" ca="1" si="0"/>
        <v>9.5000000000000001E-2</v>
      </c>
      <c r="G10" s="13" t="s">
        <v>95</v>
      </c>
      <c r="H10" s="55">
        <f t="shared" ca="1" si="1"/>
        <v>8</v>
      </c>
      <c r="I10" s="56">
        <f ca="1">FV(F10/1, C10/7, -H10)</f>
        <v>144.30814625155517</v>
      </c>
      <c r="J10" s="57" t="str">
        <f t="shared" ca="1" si="2"/>
        <v>=FV(F10/1; C10/7; -H10)</v>
      </c>
    </row>
    <row r="11" spans="2:14" x14ac:dyDescent="0.25">
      <c r="B11" s="12" t="s">
        <v>65</v>
      </c>
      <c r="C11" s="14">
        <f ca="1">RANDBETWEEN(5,20)*6</f>
        <v>78</v>
      </c>
      <c r="D11" s="13" t="s">
        <v>34</v>
      </c>
      <c r="E11" t="s">
        <v>14</v>
      </c>
      <c r="F11" s="54">
        <f t="shared" ca="1" si="0"/>
        <v>2.1999999999999999E-2</v>
      </c>
      <c r="G11" s="13" t="s">
        <v>93</v>
      </c>
      <c r="H11" s="55">
        <f t="shared" ca="1" si="1"/>
        <v>33</v>
      </c>
      <c r="I11" s="56">
        <f ca="1">FV(F11/1, C11/6, -H11)</f>
        <v>490.45747901417064</v>
      </c>
      <c r="J11" s="57" t="str">
        <f t="shared" ca="1" si="2"/>
        <v>=FV(F11/1; C11/6; -H11)</v>
      </c>
    </row>
    <row r="12" spans="2:14" x14ac:dyDescent="0.25">
      <c r="B12" s="12" t="s">
        <v>66</v>
      </c>
      <c r="C12" s="14">
        <f ca="1">RANDBETWEEN(5,20)*2</f>
        <v>16</v>
      </c>
      <c r="D12" s="13" t="s">
        <v>36</v>
      </c>
      <c r="E12" t="s">
        <v>14</v>
      </c>
      <c r="F12" s="54">
        <f t="shared" ca="1" si="0"/>
        <v>0.08</v>
      </c>
      <c r="G12" s="13" t="s">
        <v>73</v>
      </c>
      <c r="H12" s="55">
        <f t="shared" ca="1" si="1"/>
        <v>35</v>
      </c>
      <c r="I12" s="56">
        <f ca="1">FV(F12/4, C12*2, -H12)</f>
        <v>1547.9460361769754</v>
      </c>
      <c r="J12" s="57" t="str">
        <f t="shared" ca="1" si="2"/>
        <v>=FV(F12/4; C12*2; -H12)</v>
      </c>
    </row>
    <row r="13" spans="2:14" ht="15.75" thickBot="1" x14ac:dyDescent="0.3">
      <c r="B13" s="49" t="s">
        <v>67</v>
      </c>
      <c r="C13" s="16">
        <f ca="1">RANDBETWEEN(5,20)</f>
        <v>16</v>
      </c>
      <c r="D13" s="18" t="s">
        <v>33</v>
      </c>
      <c r="E13" s="17" t="s">
        <v>75</v>
      </c>
      <c r="F13" s="58">
        <f ca="1">ROUND( RAND()/30,3)</f>
        <v>1.4999999999999999E-2</v>
      </c>
      <c r="G13" s="18" t="s">
        <v>96</v>
      </c>
      <c r="H13" s="59">
        <f t="shared" ca="1" si="1"/>
        <v>54</v>
      </c>
      <c r="I13" s="60">
        <f ca="1">FV(F13/2, C13*14, -H13)</f>
        <v>31190.588940837086</v>
      </c>
      <c r="J13" s="57" t="str">
        <f t="shared" ca="1" si="2"/>
        <v>=FV(F13/2; C13*14; -H13)</v>
      </c>
    </row>
    <row r="23" spans="4:4" x14ac:dyDescent="0.25">
      <c r="D23" s="5"/>
    </row>
  </sheetData>
  <sheetProtection formatCells="0" formatColumns="0" formatRows="0"/>
  <mergeCells count="3">
    <mergeCell ref="K1:M3"/>
    <mergeCell ref="F6:G6"/>
    <mergeCell ref="C6:D6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679A-6162-4362-B19D-169040BAF0F0}">
  <dimension ref="A1:R80"/>
  <sheetViews>
    <sheetView zoomScale="130" zoomScaleNormal="130" workbookViewId="0"/>
  </sheetViews>
  <sheetFormatPr defaultRowHeight="15" x14ac:dyDescent="0.25"/>
  <cols>
    <col min="2" max="2" width="10.140625" bestFit="1" customWidth="1"/>
    <col min="3" max="3" width="10.28515625" customWidth="1"/>
    <col min="4" max="4" width="11.42578125" bestFit="1" customWidth="1"/>
    <col min="5" max="5" width="4.7109375" customWidth="1"/>
  </cols>
  <sheetData>
    <row r="1" spans="1:18" ht="21" x14ac:dyDescent="0.35">
      <c r="B1" s="226" t="s">
        <v>142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8" ht="21" x14ac:dyDescent="0.35">
      <c r="B2" s="48"/>
    </row>
    <row r="3" spans="1:18" x14ac:dyDescent="0.25">
      <c r="B3" s="1" t="s">
        <v>61</v>
      </c>
    </row>
    <row r="4" spans="1:18" ht="37.15" customHeight="1" x14ac:dyDescent="0.25">
      <c r="B4" s="110" t="s">
        <v>99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2"/>
    </row>
    <row r="7" spans="1:18" x14ac:dyDescent="0.25">
      <c r="B7" s="3" t="s">
        <v>5</v>
      </c>
      <c r="C7" s="3" t="s">
        <v>6</v>
      </c>
      <c r="D7" s="3" t="s">
        <v>7</v>
      </c>
    </row>
    <row r="8" spans="1:18" ht="15.75" thickBot="1" x14ac:dyDescent="0.3">
      <c r="A8">
        <v>0</v>
      </c>
      <c r="B8">
        <v>500</v>
      </c>
      <c r="C8">
        <v>500</v>
      </c>
      <c r="D8">
        <v>500</v>
      </c>
    </row>
    <row r="9" spans="1:18" x14ac:dyDescent="0.25">
      <c r="A9" s="1">
        <v>1</v>
      </c>
      <c r="B9" s="61">
        <f>FV(0.1/12, A9, 0, -$B$8)</f>
        <v>504.16666666666663</v>
      </c>
      <c r="C9" s="5">
        <f>C8*(1+(0.1/12))</f>
        <v>504.16666666666663</v>
      </c>
      <c r="D9" s="5">
        <f>$D$8*(1+(0.1/12))^A9</f>
        <v>504.16666666666663</v>
      </c>
      <c r="F9" s="237" t="s">
        <v>79</v>
      </c>
      <c r="G9" s="238"/>
      <c r="H9" s="238"/>
      <c r="I9" s="62"/>
      <c r="J9" s="62"/>
      <c r="K9" s="62"/>
      <c r="L9" s="63"/>
    </row>
    <row r="10" spans="1:18" x14ac:dyDescent="0.25">
      <c r="A10" s="1">
        <v>2</v>
      </c>
      <c r="B10" s="5">
        <f t="shared" ref="B10:B32" si="0">FV(0.1/12, A10, 0, -$B$8)</f>
        <v>508.36805555555554</v>
      </c>
      <c r="C10" s="5">
        <f t="shared" ref="C10:C32" si="1">C9*(1+(0.1/12))</f>
        <v>508.36805555555549</v>
      </c>
      <c r="D10" s="5">
        <f t="shared" ref="D10:D32" si="2">$D$8*(1+(0.1/12))^A10</f>
        <v>508.36805555555554</v>
      </c>
      <c r="F10" s="229" t="s">
        <v>87</v>
      </c>
      <c r="G10" s="117"/>
      <c r="H10" s="117"/>
      <c r="I10" s="117"/>
      <c r="J10" s="117"/>
      <c r="K10" s="117"/>
      <c r="L10" s="230"/>
    </row>
    <row r="11" spans="1:18" x14ac:dyDescent="0.25">
      <c r="A11" s="1">
        <v>3</v>
      </c>
      <c r="B11" s="5">
        <f t="shared" si="0"/>
        <v>512.60445601851848</v>
      </c>
      <c r="C11" s="5">
        <f t="shared" si="1"/>
        <v>512.60445601851848</v>
      </c>
      <c r="D11" s="5">
        <f t="shared" si="2"/>
        <v>512.60445601851848</v>
      </c>
      <c r="F11" s="229" t="s">
        <v>82</v>
      </c>
      <c r="G11" s="117"/>
      <c r="H11" s="117"/>
      <c r="I11" s="117"/>
      <c r="J11" s="117"/>
      <c r="K11" s="117"/>
      <c r="L11" s="230"/>
    </row>
    <row r="12" spans="1:18" ht="15.75" thickBot="1" x14ac:dyDescent="0.3">
      <c r="A12" s="1">
        <v>4</v>
      </c>
      <c r="B12" s="5">
        <f t="shared" si="0"/>
        <v>516.8761598186727</v>
      </c>
      <c r="C12" s="5">
        <f t="shared" si="1"/>
        <v>516.87615981867282</v>
      </c>
      <c r="D12" s="5">
        <f t="shared" si="2"/>
        <v>516.8761598186727</v>
      </c>
      <c r="F12" s="231" t="s">
        <v>81</v>
      </c>
      <c r="G12" s="232"/>
      <c r="H12" s="232"/>
      <c r="I12" s="232"/>
      <c r="J12" s="232"/>
      <c r="K12" s="232"/>
      <c r="L12" s="233"/>
    </row>
    <row r="13" spans="1:18" x14ac:dyDescent="0.25">
      <c r="A13" s="1">
        <v>5</v>
      </c>
      <c r="B13" s="5">
        <f t="shared" si="0"/>
        <v>521.18346115049496</v>
      </c>
      <c r="C13" s="5">
        <f t="shared" si="1"/>
        <v>521.18346115049508</v>
      </c>
      <c r="D13" s="5">
        <f t="shared" si="2"/>
        <v>521.18346115049496</v>
      </c>
    </row>
    <row r="14" spans="1:18" x14ac:dyDescent="0.25">
      <c r="A14" s="1">
        <v>6</v>
      </c>
      <c r="B14" s="5">
        <f t="shared" si="0"/>
        <v>525.52665666008249</v>
      </c>
      <c r="C14" s="5">
        <f t="shared" si="1"/>
        <v>525.52665666008249</v>
      </c>
      <c r="D14" s="5">
        <f t="shared" si="2"/>
        <v>525.52665666008249</v>
      </c>
    </row>
    <row r="15" spans="1:18" ht="15.75" thickBot="1" x14ac:dyDescent="0.3">
      <c r="A15" s="1">
        <v>7</v>
      </c>
      <c r="B15" s="5">
        <f t="shared" si="0"/>
        <v>529.90604546558302</v>
      </c>
      <c r="C15" s="5">
        <f t="shared" si="1"/>
        <v>529.90604546558313</v>
      </c>
      <c r="D15" s="5">
        <f t="shared" si="2"/>
        <v>529.90604546558302</v>
      </c>
    </row>
    <row r="16" spans="1:18" x14ac:dyDescent="0.25">
      <c r="A16" s="1">
        <v>8</v>
      </c>
      <c r="B16" s="5">
        <f t="shared" si="0"/>
        <v>534.32192917779628</v>
      </c>
      <c r="C16" s="5">
        <f t="shared" si="1"/>
        <v>534.32192917779628</v>
      </c>
      <c r="D16" s="5">
        <f t="shared" si="2"/>
        <v>534.32192917779628</v>
      </c>
      <c r="F16" s="234" t="s">
        <v>102</v>
      </c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6"/>
    </row>
    <row r="17" spans="1:18" x14ac:dyDescent="0.25">
      <c r="A17" s="1">
        <v>9</v>
      </c>
      <c r="B17" s="5">
        <f t="shared" si="0"/>
        <v>538.77461192094461</v>
      </c>
      <c r="C17" s="5">
        <f t="shared" si="1"/>
        <v>538.77461192094461</v>
      </c>
      <c r="D17" s="5">
        <f t="shared" si="2"/>
        <v>538.77461192094461</v>
      </c>
      <c r="F17" s="229" t="s">
        <v>103</v>
      </c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230"/>
    </row>
    <row r="18" spans="1:18" ht="15.75" thickBot="1" x14ac:dyDescent="0.3">
      <c r="A18" s="1">
        <v>10</v>
      </c>
      <c r="B18" s="5">
        <f t="shared" si="0"/>
        <v>543.26440035361907</v>
      </c>
      <c r="C18" s="5">
        <f t="shared" si="1"/>
        <v>543.26440035361918</v>
      </c>
      <c r="D18" s="5">
        <f t="shared" si="2"/>
        <v>543.26440035361907</v>
      </c>
      <c r="F18" s="231" t="s">
        <v>84</v>
      </c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3"/>
    </row>
    <row r="19" spans="1:18" x14ac:dyDescent="0.25">
      <c r="A19" s="1">
        <v>11</v>
      </c>
      <c r="B19" s="5">
        <f t="shared" si="0"/>
        <v>547.79160368989926</v>
      </c>
      <c r="C19" s="5">
        <f t="shared" si="1"/>
        <v>547.79160368989938</v>
      </c>
      <c r="D19" s="5">
        <f t="shared" si="2"/>
        <v>547.79160368989926</v>
      </c>
    </row>
    <row r="20" spans="1:18" ht="15.75" thickBot="1" x14ac:dyDescent="0.3">
      <c r="A20" s="1">
        <v>12</v>
      </c>
      <c r="B20" s="5">
        <f t="shared" si="0"/>
        <v>552.35653372064837</v>
      </c>
      <c r="C20" s="5">
        <f t="shared" si="1"/>
        <v>552.35653372064849</v>
      </c>
      <c r="D20" s="5">
        <f t="shared" si="2"/>
        <v>552.35653372064837</v>
      </c>
    </row>
    <row r="21" spans="1:18" x14ac:dyDescent="0.25">
      <c r="A21" s="1">
        <v>13</v>
      </c>
      <c r="B21" s="5">
        <f t="shared" si="0"/>
        <v>556.959504834987</v>
      </c>
      <c r="C21" s="5">
        <f t="shared" si="1"/>
        <v>556.95950483498723</v>
      </c>
      <c r="D21" s="5">
        <f t="shared" si="2"/>
        <v>556.959504834987</v>
      </c>
      <c r="F21" s="234" t="s">
        <v>104</v>
      </c>
      <c r="G21" s="235"/>
      <c r="H21" s="235"/>
      <c r="I21" s="235"/>
      <c r="J21" s="235"/>
      <c r="K21" s="235"/>
      <c r="L21" s="235"/>
      <c r="M21" s="235"/>
      <c r="N21" s="235"/>
      <c r="O21" s="235"/>
      <c r="P21" s="10"/>
      <c r="Q21" s="10"/>
      <c r="R21" s="11"/>
    </row>
    <row r="22" spans="1:18" ht="15.75" thickBot="1" x14ac:dyDescent="0.3">
      <c r="A22" s="1">
        <v>14</v>
      </c>
      <c r="B22" s="5">
        <f t="shared" si="0"/>
        <v>561.60083404194529</v>
      </c>
      <c r="C22" s="5">
        <f t="shared" si="1"/>
        <v>561.6008340419454</v>
      </c>
      <c r="D22" s="5">
        <f t="shared" si="2"/>
        <v>561.60083404194529</v>
      </c>
      <c r="F22" s="231" t="s">
        <v>83</v>
      </c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3"/>
    </row>
    <row r="23" spans="1:18" x14ac:dyDescent="0.25">
      <c r="A23" s="1">
        <v>15</v>
      </c>
      <c r="B23" s="5">
        <f t="shared" si="0"/>
        <v>566.28084099229477</v>
      </c>
      <c r="C23" s="5">
        <f t="shared" si="1"/>
        <v>566.28084099229488</v>
      </c>
      <c r="D23" s="5">
        <f t="shared" si="2"/>
        <v>566.28084099229477</v>
      </c>
    </row>
    <row r="24" spans="1:18" x14ac:dyDescent="0.25">
      <c r="A24" s="1">
        <v>16</v>
      </c>
      <c r="B24" s="5">
        <f t="shared" si="0"/>
        <v>570.99984800056393</v>
      </c>
      <c r="C24" s="5">
        <f t="shared" si="1"/>
        <v>570.99984800056404</v>
      </c>
      <c r="D24" s="5">
        <f t="shared" si="2"/>
        <v>570.99984800056393</v>
      </c>
    </row>
    <row r="25" spans="1:18" x14ac:dyDescent="0.25">
      <c r="A25" s="1">
        <v>17</v>
      </c>
      <c r="B25" s="5">
        <f t="shared" si="0"/>
        <v>575.75818006723523</v>
      </c>
      <c r="C25" s="5">
        <f t="shared" si="1"/>
        <v>575.75818006723534</v>
      </c>
      <c r="D25" s="5">
        <f t="shared" si="2"/>
        <v>575.75818006723523</v>
      </c>
    </row>
    <row r="26" spans="1:18" x14ac:dyDescent="0.25">
      <c r="A26" s="1">
        <v>18</v>
      </c>
      <c r="B26" s="5">
        <f t="shared" si="0"/>
        <v>580.55616490112891</v>
      </c>
      <c r="C26" s="5">
        <f t="shared" si="1"/>
        <v>580.55616490112891</v>
      </c>
      <c r="D26" s="5">
        <f t="shared" si="2"/>
        <v>580.55616490112891</v>
      </c>
    </row>
    <row r="27" spans="1:18" x14ac:dyDescent="0.25">
      <c r="A27" s="1">
        <v>19</v>
      </c>
      <c r="B27" s="5">
        <f t="shared" si="0"/>
        <v>585.39413294197163</v>
      </c>
      <c r="C27" s="5">
        <f t="shared" si="1"/>
        <v>585.39413294197163</v>
      </c>
      <c r="D27" s="5">
        <f t="shared" si="2"/>
        <v>585.39413294197163</v>
      </c>
    </row>
    <row r="28" spans="1:18" x14ac:dyDescent="0.25">
      <c r="A28" s="1">
        <v>20</v>
      </c>
      <c r="B28" s="5">
        <f t="shared" si="0"/>
        <v>590.27241738315456</v>
      </c>
      <c r="C28" s="5">
        <f t="shared" si="1"/>
        <v>590.27241738315468</v>
      </c>
      <c r="D28" s="5">
        <f t="shared" si="2"/>
        <v>590.27241738315456</v>
      </c>
    </row>
    <row r="29" spans="1:18" x14ac:dyDescent="0.25">
      <c r="A29" s="1">
        <v>21</v>
      </c>
      <c r="B29" s="5">
        <f t="shared" si="0"/>
        <v>595.1913541946808</v>
      </c>
      <c r="C29" s="5">
        <f t="shared" si="1"/>
        <v>595.19135419468091</v>
      </c>
      <c r="D29" s="5">
        <f t="shared" si="2"/>
        <v>595.1913541946808</v>
      </c>
    </row>
    <row r="30" spans="1:18" x14ac:dyDescent="0.25">
      <c r="A30" s="1">
        <v>22</v>
      </c>
      <c r="B30" s="5">
        <f t="shared" si="0"/>
        <v>600.15128214630329</v>
      </c>
      <c r="C30" s="5">
        <f t="shared" si="1"/>
        <v>600.15128214630329</v>
      </c>
      <c r="D30" s="5">
        <f t="shared" si="2"/>
        <v>600.15128214630329</v>
      </c>
    </row>
    <row r="31" spans="1:18" x14ac:dyDescent="0.25">
      <c r="A31" s="1">
        <v>23</v>
      </c>
      <c r="B31" s="5">
        <f t="shared" si="0"/>
        <v>605.15254283085574</v>
      </c>
      <c r="C31" s="5">
        <f t="shared" si="1"/>
        <v>605.15254283085585</v>
      </c>
      <c r="D31" s="5">
        <f t="shared" si="2"/>
        <v>605.15254283085574</v>
      </c>
    </row>
    <row r="32" spans="1:18" x14ac:dyDescent="0.25">
      <c r="A32" s="1">
        <v>24</v>
      </c>
      <c r="B32" s="5">
        <f t="shared" si="0"/>
        <v>610.19548068777954</v>
      </c>
      <c r="C32" s="5">
        <f t="shared" si="1"/>
        <v>610.19548068777965</v>
      </c>
      <c r="D32" s="5">
        <f t="shared" si="2"/>
        <v>610.19548068777954</v>
      </c>
    </row>
    <row r="34" spans="1:18" x14ac:dyDescent="0.25">
      <c r="B34" s="1" t="s">
        <v>62</v>
      </c>
    </row>
    <row r="35" spans="1:18" ht="34.9" customHeight="1" x14ac:dyDescent="0.25">
      <c r="B35" s="110" t="s">
        <v>97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7" spans="1:18" x14ac:dyDescent="0.25">
      <c r="B37" s="3" t="s">
        <v>5</v>
      </c>
      <c r="C37" s="3" t="s">
        <v>6</v>
      </c>
      <c r="D37" s="3" t="s">
        <v>7</v>
      </c>
    </row>
    <row r="38" spans="1:18" ht="15.75" thickBot="1" x14ac:dyDescent="0.3">
      <c r="B38">
        <v>500</v>
      </c>
      <c r="C38">
        <v>500</v>
      </c>
      <c r="D38">
        <v>500</v>
      </c>
    </row>
    <row r="39" spans="1:18" x14ac:dyDescent="0.25">
      <c r="A39">
        <v>1</v>
      </c>
      <c r="B39" s="64">
        <f>FV(0.1/12, A39,-50, -$B$38)</f>
        <v>554.1666666666664</v>
      </c>
      <c r="C39" s="5">
        <f>C38*(1+(0.1/12))+50</f>
        <v>554.16666666666663</v>
      </c>
      <c r="D39" s="5">
        <f>$D$38*(-12+13*(121/120)^A39)</f>
        <v>554.16666666666629</v>
      </c>
      <c r="F39" s="227" t="s">
        <v>193</v>
      </c>
      <c r="G39" s="228"/>
      <c r="H39" s="228"/>
      <c r="I39" s="62"/>
      <c r="J39" s="62"/>
      <c r="K39" s="62"/>
      <c r="L39" s="63"/>
    </row>
    <row r="40" spans="1:18" x14ac:dyDescent="0.25">
      <c r="A40">
        <v>2</v>
      </c>
      <c r="B40" s="5">
        <f t="shared" ref="B40:B62" si="3">FV(0.1/12,A40,-50,-$B$38)</f>
        <v>608.78472222222194</v>
      </c>
      <c r="C40" s="5">
        <f t="shared" ref="C40:C62" si="4">C39*(1+(0.1/12))+50</f>
        <v>608.78472222222217</v>
      </c>
      <c r="D40" s="5">
        <f t="shared" ref="D40:D62" si="5">$D$38*(-12+13*(121/120)^A40)</f>
        <v>608.7847222222216</v>
      </c>
      <c r="F40" s="229" t="s">
        <v>88</v>
      </c>
      <c r="G40" s="117"/>
      <c r="H40" s="117"/>
      <c r="I40" s="117"/>
      <c r="J40" s="117"/>
      <c r="K40" s="117"/>
      <c r="L40" s="230"/>
    </row>
    <row r="41" spans="1:18" x14ac:dyDescent="0.25">
      <c r="A41">
        <v>3</v>
      </c>
      <c r="B41" s="5">
        <f t="shared" si="3"/>
        <v>663.85792824073985</v>
      </c>
      <c r="C41" s="5">
        <f t="shared" si="4"/>
        <v>663.85792824074065</v>
      </c>
      <c r="D41" s="5">
        <f t="shared" si="5"/>
        <v>663.85792824073951</v>
      </c>
      <c r="F41" s="229" t="s">
        <v>82</v>
      </c>
      <c r="G41" s="117"/>
      <c r="H41" s="117"/>
      <c r="I41" s="117"/>
      <c r="J41" s="117"/>
      <c r="K41" s="117"/>
      <c r="L41" s="230"/>
    </row>
    <row r="42" spans="1:18" ht="15.75" thickBot="1" x14ac:dyDescent="0.3">
      <c r="A42">
        <v>4</v>
      </c>
      <c r="B42" s="5">
        <f t="shared" si="3"/>
        <v>719.39007764274561</v>
      </c>
      <c r="C42" s="5">
        <f t="shared" si="4"/>
        <v>719.39007764274675</v>
      </c>
      <c r="D42" s="5">
        <f t="shared" si="5"/>
        <v>719.39007764274527</v>
      </c>
      <c r="F42" s="231" t="s">
        <v>81</v>
      </c>
      <c r="G42" s="232"/>
      <c r="H42" s="232"/>
      <c r="I42" s="232"/>
      <c r="J42" s="232"/>
      <c r="K42" s="232"/>
      <c r="L42" s="233"/>
    </row>
    <row r="43" spans="1:18" x14ac:dyDescent="0.25">
      <c r="A43">
        <v>5</v>
      </c>
      <c r="B43" s="5">
        <f t="shared" si="3"/>
        <v>775.38499495643453</v>
      </c>
      <c r="C43" s="5">
        <f t="shared" si="4"/>
        <v>775.38499495643623</v>
      </c>
      <c r="D43" s="5">
        <f t="shared" si="5"/>
        <v>775.38499495643441</v>
      </c>
    </row>
    <row r="44" spans="1:18" x14ac:dyDescent="0.25">
      <c r="A44">
        <v>6</v>
      </c>
      <c r="B44" s="5">
        <f t="shared" si="3"/>
        <v>831.84653658107209</v>
      </c>
      <c r="C44" s="5">
        <f t="shared" si="4"/>
        <v>831.84653658107322</v>
      </c>
      <c r="D44" s="5">
        <f t="shared" si="5"/>
        <v>831.84653658107163</v>
      </c>
    </row>
    <row r="45" spans="1:18" ht="15.75" thickBot="1" x14ac:dyDescent="0.3">
      <c r="A45">
        <v>7</v>
      </c>
      <c r="B45" s="5">
        <f t="shared" si="3"/>
        <v>888.77859105257971</v>
      </c>
      <c r="C45" s="5">
        <f t="shared" si="4"/>
        <v>888.7785910525821</v>
      </c>
      <c r="D45" s="5">
        <f t="shared" si="5"/>
        <v>888.7785910525796</v>
      </c>
    </row>
    <row r="46" spans="1:18" x14ac:dyDescent="0.25">
      <c r="A46">
        <v>8</v>
      </c>
      <c r="B46" s="5">
        <f t="shared" si="3"/>
        <v>946.18507931135196</v>
      </c>
      <c r="C46" s="5">
        <f t="shared" si="4"/>
        <v>946.18507931135355</v>
      </c>
      <c r="D46" s="5">
        <f t="shared" si="5"/>
        <v>946.18507931135196</v>
      </c>
      <c r="F46" s="234" t="s">
        <v>106</v>
      </c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6"/>
    </row>
    <row r="47" spans="1:18" x14ac:dyDescent="0.25">
      <c r="A47">
        <v>9</v>
      </c>
      <c r="B47" s="5">
        <f t="shared" si="3"/>
        <v>1004.0699549722792</v>
      </c>
      <c r="C47" s="5">
        <f t="shared" si="4"/>
        <v>1004.0699549722815</v>
      </c>
      <c r="D47" s="5">
        <f t="shared" si="5"/>
        <v>1004.0699549722793</v>
      </c>
      <c r="F47" s="229" t="s">
        <v>103</v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230"/>
    </row>
    <row r="48" spans="1:18" x14ac:dyDescent="0.25">
      <c r="A48">
        <v>10</v>
      </c>
      <c r="B48" s="5">
        <f t="shared" si="3"/>
        <v>1062.4372045970485</v>
      </c>
      <c r="C48" s="5">
        <f t="shared" si="4"/>
        <v>1062.4372045970504</v>
      </c>
      <c r="D48" s="5">
        <f t="shared" si="5"/>
        <v>1062.4372045970488</v>
      </c>
      <c r="F48" s="229" t="s">
        <v>84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230"/>
    </row>
    <row r="49" spans="1:18" ht="15.75" thickBot="1" x14ac:dyDescent="0.3">
      <c r="A49">
        <v>11</v>
      </c>
      <c r="B49" s="5">
        <f t="shared" si="3"/>
        <v>1121.2908479686898</v>
      </c>
      <c r="C49" s="5">
        <f t="shared" si="4"/>
        <v>1121.2908479686923</v>
      </c>
      <c r="D49" s="5">
        <f t="shared" si="5"/>
        <v>1121.2908479686901</v>
      </c>
      <c r="F49" s="16" t="s">
        <v>135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 ht="15.75" thickBot="1" x14ac:dyDescent="0.3">
      <c r="A50">
        <v>12</v>
      </c>
      <c r="B50" s="5">
        <f t="shared" si="3"/>
        <v>1180.6349383684292</v>
      </c>
      <c r="C50" s="5">
        <f t="shared" si="4"/>
        <v>1180.6349383684314</v>
      </c>
      <c r="D50" s="5">
        <f t="shared" si="5"/>
        <v>1180.6349383684296</v>
      </c>
    </row>
    <row r="51" spans="1:18" x14ac:dyDescent="0.25">
      <c r="A51">
        <v>13</v>
      </c>
      <c r="B51" s="5">
        <f t="shared" si="3"/>
        <v>1240.4735628548312</v>
      </c>
      <c r="C51" s="5">
        <f t="shared" si="4"/>
        <v>1240.4735628548351</v>
      </c>
      <c r="D51" s="5">
        <f t="shared" si="5"/>
        <v>1240.473562854831</v>
      </c>
      <c r="F51" s="234" t="s">
        <v>105</v>
      </c>
      <c r="G51" s="235"/>
      <c r="H51" s="235"/>
      <c r="I51" s="235"/>
      <c r="J51" s="235"/>
      <c r="K51" s="235"/>
      <c r="L51" s="235"/>
      <c r="M51" s="235"/>
      <c r="N51" s="235"/>
      <c r="O51" s="235"/>
      <c r="P51" s="10"/>
      <c r="Q51" s="10"/>
      <c r="R51" s="11"/>
    </row>
    <row r="52" spans="1:18" ht="15.75" thickBot="1" x14ac:dyDescent="0.3">
      <c r="A52">
        <v>14</v>
      </c>
      <c r="B52" s="5">
        <f t="shared" si="3"/>
        <v>1300.8108425452886</v>
      </c>
      <c r="C52" s="5">
        <f t="shared" si="4"/>
        <v>1300.810842545292</v>
      </c>
      <c r="D52" s="5">
        <f t="shared" si="5"/>
        <v>1300.8108425452888</v>
      </c>
      <c r="F52" s="231" t="s">
        <v>107</v>
      </c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3"/>
    </row>
    <row r="53" spans="1:18" x14ac:dyDescent="0.25">
      <c r="A53">
        <v>15</v>
      </c>
      <c r="B53" s="5">
        <f t="shared" si="3"/>
        <v>1361.6509328998325</v>
      </c>
      <c r="C53" s="5">
        <f t="shared" si="4"/>
        <v>1361.6509328998361</v>
      </c>
      <c r="D53" s="5">
        <f t="shared" si="5"/>
        <v>1361.6509328998329</v>
      </c>
    </row>
    <row r="54" spans="1:18" x14ac:dyDescent="0.25">
      <c r="A54">
        <v>16</v>
      </c>
      <c r="B54" s="5">
        <f t="shared" si="3"/>
        <v>1422.998024007331</v>
      </c>
      <c r="C54" s="5">
        <f t="shared" si="4"/>
        <v>1422.9980240073346</v>
      </c>
      <c r="D54" s="5">
        <f t="shared" si="5"/>
        <v>1422.998024007331</v>
      </c>
    </row>
    <row r="55" spans="1:18" x14ac:dyDescent="0.25">
      <c r="A55">
        <v>17</v>
      </c>
      <c r="B55" s="5">
        <f t="shared" si="3"/>
        <v>1484.8563408740579</v>
      </c>
      <c r="C55" s="5">
        <f t="shared" si="4"/>
        <v>1484.8563408740624</v>
      </c>
      <c r="D55" s="5">
        <f t="shared" si="5"/>
        <v>1484.8563408740577</v>
      </c>
    </row>
    <row r="56" spans="1:18" x14ac:dyDescent="0.25">
      <c r="A56">
        <v>18</v>
      </c>
      <c r="B56" s="5">
        <f t="shared" si="3"/>
        <v>1547.2301437146762</v>
      </c>
      <c r="C56" s="5">
        <f t="shared" si="4"/>
        <v>1547.2301437146796</v>
      </c>
      <c r="D56" s="5">
        <f t="shared" si="5"/>
        <v>1547.2301437146764</v>
      </c>
    </row>
    <row r="57" spans="1:18" x14ac:dyDescent="0.25">
      <c r="A57">
        <v>19</v>
      </c>
      <c r="B57" s="5">
        <f t="shared" si="3"/>
        <v>1610.1237282456309</v>
      </c>
      <c r="C57" s="5">
        <f t="shared" si="4"/>
        <v>1610.1237282456352</v>
      </c>
      <c r="D57" s="5">
        <f t="shared" si="5"/>
        <v>1610.1237282456307</v>
      </c>
    </row>
    <row r="58" spans="1:18" x14ac:dyDescent="0.25">
      <c r="A58">
        <v>20</v>
      </c>
      <c r="B58" s="5">
        <f t="shared" si="3"/>
        <v>1673.54142598101</v>
      </c>
      <c r="C58" s="5">
        <f t="shared" si="4"/>
        <v>1673.5414259810154</v>
      </c>
      <c r="D58" s="5">
        <f t="shared" si="5"/>
        <v>1673.5414259810098</v>
      </c>
    </row>
    <row r="59" spans="1:18" x14ac:dyDescent="0.25">
      <c r="A59">
        <v>21</v>
      </c>
      <c r="B59" s="5">
        <f t="shared" si="3"/>
        <v>1737.4876045308508</v>
      </c>
      <c r="C59" s="5">
        <f t="shared" si="4"/>
        <v>1737.4876045308572</v>
      </c>
      <c r="D59" s="5">
        <f t="shared" si="5"/>
        <v>1737.4876045308508</v>
      </c>
    </row>
    <row r="60" spans="1:18" x14ac:dyDescent="0.25">
      <c r="A60">
        <v>22</v>
      </c>
      <c r="B60" s="5">
        <f t="shared" si="3"/>
        <v>1801.9666679019429</v>
      </c>
      <c r="C60" s="5">
        <f t="shared" si="4"/>
        <v>1801.9666679019476</v>
      </c>
      <c r="D60" s="5">
        <f t="shared" si="5"/>
        <v>1801.9666679019429</v>
      </c>
    </row>
    <row r="61" spans="1:18" x14ac:dyDescent="0.25">
      <c r="A61">
        <v>23</v>
      </c>
      <c r="B61" s="5">
        <f t="shared" si="3"/>
        <v>1866.9830568011246</v>
      </c>
      <c r="C61" s="5">
        <f t="shared" si="4"/>
        <v>1866.9830568011305</v>
      </c>
      <c r="D61" s="5">
        <f t="shared" si="5"/>
        <v>1866.983056801125</v>
      </c>
    </row>
    <row r="62" spans="1:18" x14ac:dyDescent="0.25">
      <c r="A62">
        <v>24</v>
      </c>
      <c r="B62" s="5">
        <f t="shared" si="3"/>
        <v>1932.5412489411337</v>
      </c>
      <c r="C62" s="5">
        <f t="shared" si="4"/>
        <v>1932.5412489411399</v>
      </c>
      <c r="D62" s="5">
        <f t="shared" si="5"/>
        <v>1932.541248941134</v>
      </c>
    </row>
    <row r="64" spans="1:18" x14ac:dyDescent="0.25">
      <c r="B64" s="1" t="s">
        <v>63</v>
      </c>
    </row>
    <row r="65" spans="2:15" ht="15.75" x14ac:dyDescent="0.25">
      <c r="B65" s="110" t="s">
        <v>98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</row>
    <row r="66" spans="2:15" ht="15.75" x14ac:dyDescent="0.25">
      <c r="B66" s="110" t="s">
        <v>164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</row>
    <row r="67" spans="2:15" ht="15.75" thickBot="1" x14ac:dyDescent="0.3"/>
    <row r="68" spans="2:15" ht="15.75" thickBot="1" x14ac:dyDescent="0.3">
      <c r="B68" s="245" t="s">
        <v>165</v>
      </c>
      <c r="C68" s="246"/>
      <c r="D68" s="247"/>
      <c r="F68" s="245" t="s">
        <v>166</v>
      </c>
      <c r="G68" s="246"/>
      <c r="H68" s="247"/>
    </row>
    <row r="69" spans="2:15" x14ac:dyDescent="0.25">
      <c r="B69" s="248">
        <f>FV(0.1/12, 50*12, -5,, 1)</f>
        <v>87343.803596334415</v>
      </c>
      <c r="C69" s="249"/>
      <c r="D69" s="250"/>
      <c r="F69" s="248">
        <f>FV(0.1/12, 50*12, -5)</f>
        <v>86621.953979835802</v>
      </c>
      <c r="G69" s="249"/>
      <c r="H69" s="250"/>
      <c r="I69" s="239" t="s">
        <v>163</v>
      </c>
      <c r="J69" s="240"/>
      <c r="K69" s="240"/>
      <c r="L69" s="240"/>
      <c r="M69" s="240"/>
      <c r="N69" s="240"/>
      <c r="O69" s="241"/>
    </row>
    <row r="70" spans="2:15" ht="15.75" thickBot="1" x14ac:dyDescent="0.3">
      <c r="B70" s="242" t="str">
        <f ca="1">_xlfn.FORMULATEXT(B69)</f>
        <v>=FV(0,1/12; 50*12; -5;; 1)</v>
      </c>
      <c r="C70" s="243"/>
      <c r="D70" s="244"/>
      <c r="F70" s="242" t="str">
        <f ca="1">_xlfn.FORMULATEXT(F69)</f>
        <v>=FV(0,1/12; 50*12; -5)</v>
      </c>
      <c r="G70" s="243"/>
      <c r="H70" s="244"/>
      <c r="I70" s="242"/>
      <c r="J70" s="243"/>
      <c r="K70" s="243"/>
      <c r="L70" s="243"/>
      <c r="M70" s="243"/>
      <c r="N70" s="243"/>
      <c r="O70" s="244"/>
    </row>
    <row r="72" spans="2:15" x14ac:dyDescent="0.25">
      <c r="B72" s="117" t="s">
        <v>85</v>
      </c>
      <c r="C72" s="117"/>
      <c r="D72" s="117"/>
    </row>
    <row r="73" spans="2:15" x14ac:dyDescent="0.25">
      <c r="B73" s="117" t="s">
        <v>86</v>
      </c>
      <c r="C73" s="117"/>
      <c r="D73" s="117"/>
    </row>
    <row r="77" spans="2:15" x14ac:dyDescent="0.25">
      <c r="B77" s="1" t="s">
        <v>76</v>
      </c>
    </row>
    <row r="78" spans="2:15" x14ac:dyDescent="0.25">
      <c r="B78" t="s">
        <v>167</v>
      </c>
    </row>
    <row r="79" spans="2:15" x14ac:dyDescent="0.25">
      <c r="B79" s="12" t="s">
        <v>64</v>
      </c>
      <c r="C79" s="117" t="s">
        <v>100</v>
      </c>
      <c r="D79" s="117"/>
      <c r="E79" s="117"/>
      <c r="F79" s="117"/>
      <c r="G79" s="117"/>
      <c r="H79" s="117"/>
      <c r="I79" s="117"/>
      <c r="J79" s="117"/>
      <c r="K79" s="117"/>
      <c r="L79" s="117"/>
    </row>
    <row r="80" spans="2:15" x14ac:dyDescent="0.25">
      <c r="B80" s="12" t="s">
        <v>65</v>
      </c>
      <c r="C80" s="117" t="s">
        <v>101</v>
      </c>
      <c r="D80" s="117"/>
      <c r="E80" s="117"/>
      <c r="F80" s="117"/>
      <c r="G80" s="117"/>
      <c r="H80" s="117"/>
      <c r="I80" s="117"/>
      <c r="J80" s="117"/>
      <c r="K80" s="117"/>
      <c r="L80" s="117"/>
    </row>
  </sheetData>
  <mergeCells count="34">
    <mergeCell ref="F52:R52"/>
    <mergeCell ref="B65:N65"/>
    <mergeCell ref="I69:O70"/>
    <mergeCell ref="B72:D72"/>
    <mergeCell ref="B73:D73"/>
    <mergeCell ref="B68:D68"/>
    <mergeCell ref="B69:D69"/>
    <mergeCell ref="B70:D70"/>
    <mergeCell ref="F68:H68"/>
    <mergeCell ref="F69:H69"/>
    <mergeCell ref="F70:H70"/>
    <mergeCell ref="B66:N66"/>
    <mergeCell ref="F47:R47"/>
    <mergeCell ref="F48:R48"/>
    <mergeCell ref="F51:O51"/>
    <mergeCell ref="F11:L11"/>
    <mergeCell ref="F12:L12"/>
    <mergeCell ref="F46:R46"/>
    <mergeCell ref="C79:L79"/>
    <mergeCell ref="C80:L80"/>
    <mergeCell ref="B1:L1"/>
    <mergeCell ref="F39:H39"/>
    <mergeCell ref="F40:L40"/>
    <mergeCell ref="F41:L41"/>
    <mergeCell ref="F42:L42"/>
    <mergeCell ref="F22:R22"/>
    <mergeCell ref="F18:R18"/>
    <mergeCell ref="F17:R17"/>
    <mergeCell ref="B35:N35"/>
    <mergeCell ref="B4:N4"/>
    <mergeCell ref="F21:O21"/>
    <mergeCell ref="F16:R16"/>
    <mergeCell ref="F9:H9"/>
    <mergeCell ref="F10:L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DC7B3-5079-45A7-A224-C4B5FFFE47D7}">
  <dimension ref="A1:L143"/>
  <sheetViews>
    <sheetView workbookViewId="0"/>
  </sheetViews>
  <sheetFormatPr defaultRowHeight="15" x14ac:dyDescent="0.25"/>
  <cols>
    <col min="2" max="2" width="21.5703125" customWidth="1"/>
    <col min="3" max="3" width="11.5703125" customWidth="1"/>
    <col min="4" max="4" width="10.42578125" customWidth="1"/>
    <col min="6" max="6" width="12.42578125" bestFit="1" customWidth="1"/>
    <col min="7" max="7" width="17" bestFit="1" customWidth="1"/>
    <col min="10" max="10" width="16.5703125" bestFit="1" customWidth="1"/>
    <col min="12" max="12" width="19.7109375" style="101" customWidth="1"/>
  </cols>
  <sheetData>
    <row r="1" spans="1:6" customFormat="1" ht="15.75" thickBot="1" x14ac:dyDescent="0.3">
      <c r="B1" t="s">
        <v>190</v>
      </c>
    </row>
    <row r="2" spans="1:6" customFormat="1" x14ac:dyDescent="0.25">
      <c r="B2" s="234" t="s">
        <v>169</v>
      </c>
      <c r="C2" s="236"/>
    </row>
    <row r="3" spans="1:6" customFormat="1" ht="15.75" thickBot="1" x14ac:dyDescent="0.3">
      <c r="B3" s="16" t="s">
        <v>170</v>
      </c>
      <c r="C3" s="92">
        <v>1</v>
      </c>
    </row>
    <row r="4" spans="1:6" customFormat="1" x14ac:dyDescent="0.25"/>
    <row r="5" spans="1:6" customFormat="1" ht="15.75" thickBot="1" x14ac:dyDescent="0.3">
      <c r="A5" s="93"/>
    </row>
    <row r="6" spans="1:6" customFormat="1" x14ac:dyDescent="0.25">
      <c r="B6" s="84" t="s">
        <v>171</v>
      </c>
      <c r="C6" s="99">
        <v>1</v>
      </c>
      <c r="D6" s="11" t="s">
        <v>172</v>
      </c>
    </row>
    <row r="7" spans="1:6" customFormat="1" x14ac:dyDescent="0.25">
      <c r="B7" s="14">
        <v>1</v>
      </c>
      <c r="C7" s="93" t="s">
        <v>181</v>
      </c>
      <c r="D7" s="13"/>
    </row>
    <row r="8" spans="1:6" customFormat="1" ht="15.75" thickBot="1" x14ac:dyDescent="0.3">
      <c r="B8" s="16" t="s">
        <v>189</v>
      </c>
      <c r="C8" s="100">
        <f>FV(C6,B7,0,-$C$3)</f>
        <v>2</v>
      </c>
      <c r="D8" s="18"/>
      <c r="E8" s="251" t="str">
        <f ca="1">_xlfn.FORMULATEXT(C8)</f>
        <v>=FV(C6;B7;0;-$C$3)</v>
      </c>
      <c r="F8" s="252"/>
    </row>
    <row r="9" spans="1:6" customFormat="1" x14ac:dyDescent="0.25"/>
    <row r="10" spans="1:6" customFormat="1" ht="15.75" thickBot="1" x14ac:dyDescent="0.3"/>
    <row r="11" spans="1:6" customFormat="1" x14ac:dyDescent="0.25">
      <c r="B11" s="84" t="s">
        <v>171</v>
      </c>
      <c r="C11" s="99">
        <f>1/B12</f>
        <v>0.5</v>
      </c>
      <c r="D11" s="11" t="s">
        <v>173</v>
      </c>
    </row>
    <row r="12" spans="1:6" customFormat="1" x14ac:dyDescent="0.25">
      <c r="B12" s="14">
        <v>2</v>
      </c>
      <c r="C12" s="93" t="s">
        <v>182</v>
      </c>
      <c r="D12" s="13"/>
    </row>
    <row r="13" spans="1:6" customFormat="1" ht="15.75" thickBot="1" x14ac:dyDescent="0.3">
      <c r="B13" s="16" t="s">
        <v>189</v>
      </c>
      <c r="C13" s="100">
        <f>FV(C11,B12,0,-$C$3)</f>
        <v>2.25</v>
      </c>
      <c r="D13" s="18"/>
      <c r="E13" s="251" t="str">
        <f ca="1">_xlfn.FORMULATEXT(C13)</f>
        <v>=FV(C11;B12;0;-$C$3)</v>
      </c>
      <c r="F13" s="252"/>
    </row>
    <row r="14" spans="1:6" customFormat="1" x14ac:dyDescent="0.25"/>
    <row r="15" spans="1:6" customFormat="1" ht="15.75" thickBot="1" x14ac:dyDescent="0.3"/>
    <row r="16" spans="1:6" customFormat="1" x14ac:dyDescent="0.25">
      <c r="B16" s="84" t="s">
        <v>171</v>
      </c>
      <c r="C16" s="99">
        <f>1/B17</f>
        <v>0.25</v>
      </c>
      <c r="D16" s="11" t="s">
        <v>174</v>
      </c>
    </row>
    <row r="17" spans="2:6" customFormat="1" x14ac:dyDescent="0.25">
      <c r="B17" s="14">
        <v>4</v>
      </c>
      <c r="C17" s="93" t="s">
        <v>183</v>
      </c>
      <c r="D17" s="13"/>
    </row>
    <row r="18" spans="2:6" customFormat="1" ht="15.75" thickBot="1" x14ac:dyDescent="0.3">
      <c r="B18" s="16" t="s">
        <v>189</v>
      </c>
      <c r="C18" s="100">
        <f>FV(C16,B17,0,-$C$3)</f>
        <v>2.44140625</v>
      </c>
      <c r="D18" s="18"/>
      <c r="E18" s="251" t="str">
        <f ca="1">_xlfn.FORMULATEXT(C18)</f>
        <v>=FV(C16;B17;0;-$C$3)</v>
      </c>
      <c r="F18" s="252"/>
    </row>
    <row r="19" spans="2:6" customFormat="1" x14ac:dyDescent="0.25">
      <c r="C19" s="97"/>
      <c r="E19" s="30"/>
      <c r="F19" s="30"/>
    </row>
    <row r="20" spans="2:6" customFormat="1" ht="15.75" thickBot="1" x14ac:dyDescent="0.3">
      <c r="C20" s="97"/>
      <c r="E20" s="30"/>
      <c r="F20" s="30"/>
    </row>
    <row r="21" spans="2:6" customFormat="1" x14ac:dyDescent="0.25">
      <c r="B21" s="84" t="s">
        <v>171</v>
      </c>
      <c r="C21" s="99">
        <f>1/B22</f>
        <v>8.3333333333333329E-2</v>
      </c>
      <c r="D21" s="11" t="s">
        <v>191</v>
      </c>
    </row>
    <row r="22" spans="2:6" customFormat="1" x14ac:dyDescent="0.25">
      <c r="B22" s="14">
        <v>12</v>
      </c>
      <c r="C22" s="93" t="s">
        <v>34</v>
      </c>
      <c r="D22" s="13"/>
    </row>
    <row r="23" spans="2:6" customFormat="1" ht="15.75" thickBot="1" x14ac:dyDescent="0.3">
      <c r="B23" s="16" t="s">
        <v>189</v>
      </c>
      <c r="C23" s="100">
        <f>FV(C21,B22,0,-$C$3)</f>
        <v>2.6130352902246763</v>
      </c>
      <c r="D23" s="18"/>
      <c r="E23" s="251" t="str">
        <f ca="1">_xlfn.FORMULATEXT(C23)</f>
        <v>=FV(C21;B22;0;-$C$3)</v>
      </c>
      <c r="F23" s="252"/>
    </row>
    <row r="24" spans="2:6" customFormat="1" x14ac:dyDescent="0.25">
      <c r="C24" s="97"/>
      <c r="E24" s="30"/>
      <c r="F24" s="30"/>
    </row>
    <row r="25" spans="2:6" customFormat="1" ht="15.75" thickBot="1" x14ac:dyDescent="0.3"/>
    <row r="26" spans="2:6" customFormat="1" x14ac:dyDescent="0.25">
      <c r="B26" s="84" t="s">
        <v>171</v>
      </c>
      <c r="C26" s="99">
        <f>1/B27</f>
        <v>2.7397260273972603E-3</v>
      </c>
      <c r="D26" s="11" t="s">
        <v>180</v>
      </c>
    </row>
    <row r="27" spans="2:6" customFormat="1" x14ac:dyDescent="0.25">
      <c r="B27" s="14">
        <v>365</v>
      </c>
      <c r="C27" s="93" t="s">
        <v>31</v>
      </c>
      <c r="D27" s="13"/>
    </row>
    <row r="28" spans="2:6" customFormat="1" ht="15.75" thickBot="1" x14ac:dyDescent="0.3">
      <c r="B28" s="16" t="s">
        <v>189</v>
      </c>
      <c r="C28" s="100">
        <f>FV(C26,B27,0,-$C$3)</f>
        <v>2.7145674820220145</v>
      </c>
      <c r="D28" s="18"/>
      <c r="E28" s="251" t="str">
        <f ca="1">_xlfn.FORMULATEXT(C28)</f>
        <v>=FV(C26;B27;0;-$C$3)</v>
      </c>
      <c r="F28" s="252"/>
    </row>
    <row r="29" spans="2:6" customFormat="1" x14ac:dyDescent="0.25">
      <c r="C29" s="97"/>
      <c r="E29" s="30"/>
      <c r="F29" s="30"/>
    </row>
    <row r="30" spans="2:6" customFormat="1" ht="15.75" thickBot="1" x14ac:dyDescent="0.3">
      <c r="C30" s="97"/>
      <c r="E30" s="30"/>
      <c r="F30" s="30"/>
    </row>
    <row r="31" spans="2:6" customFormat="1" x14ac:dyDescent="0.25">
      <c r="B31" s="84" t="s">
        <v>171</v>
      </c>
      <c r="C31" s="99">
        <f>1/B32</f>
        <v>1.1415525114155251E-4</v>
      </c>
      <c r="D31" s="11" t="s">
        <v>187</v>
      </c>
    </row>
    <row r="32" spans="2:6" customFormat="1" x14ac:dyDescent="0.25">
      <c r="B32" s="98">
        <f>365*24</f>
        <v>8760</v>
      </c>
      <c r="C32" s="93" t="s">
        <v>184</v>
      </c>
      <c r="D32" s="13"/>
    </row>
    <row r="33" spans="2:12" ht="15.75" thickBot="1" x14ac:dyDescent="0.3">
      <c r="B33" s="16" t="s">
        <v>189</v>
      </c>
      <c r="C33" s="100">
        <f>FV(C31,B32,0,-$C$3)</f>
        <v>2.71812669161742</v>
      </c>
      <c r="D33" s="18"/>
      <c r="E33" s="251" t="str">
        <f ca="1">_xlfn.FORMULATEXT(C33)</f>
        <v>=FV(C31;B32;0;-$C$3)</v>
      </c>
      <c r="F33" s="252"/>
      <c r="L33"/>
    </row>
    <row r="34" spans="2:12" x14ac:dyDescent="0.25">
      <c r="L34"/>
    </row>
    <row r="35" spans="2:12" ht="15.75" thickBot="1" x14ac:dyDescent="0.3">
      <c r="L35"/>
    </row>
    <row r="36" spans="2:12" x14ac:dyDescent="0.25">
      <c r="B36" s="84" t="s">
        <v>171</v>
      </c>
      <c r="C36" s="99">
        <f>1/B37</f>
        <v>1.9025875190258751E-6</v>
      </c>
      <c r="D36" s="11" t="s">
        <v>186</v>
      </c>
      <c r="L36"/>
    </row>
    <row r="37" spans="2:12" x14ac:dyDescent="0.25">
      <c r="B37" s="98">
        <f>365*24*60</f>
        <v>525600</v>
      </c>
      <c r="C37" s="93" t="s">
        <v>185</v>
      </c>
      <c r="D37" s="13"/>
      <c r="L37"/>
    </row>
    <row r="38" spans="2:12" ht="15.75" thickBot="1" x14ac:dyDescent="0.3">
      <c r="B38" s="16" t="s">
        <v>189</v>
      </c>
      <c r="C38" s="100">
        <f>FV(C36,B37,0,-$C$3)</f>
        <v>2.7182792425887077</v>
      </c>
      <c r="D38" s="18"/>
      <c r="E38" s="251" t="str">
        <f ca="1">_xlfn.FORMULATEXT(C38)</f>
        <v>=FV(C36;B37;0;-$C$3)</v>
      </c>
      <c r="F38" s="252"/>
      <c r="L38"/>
    </row>
    <row r="39" spans="2:12" x14ac:dyDescent="0.25">
      <c r="L39"/>
    </row>
    <row r="40" spans="2:12" x14ac:dyDescent="0.25">
      <c r="B40" t="s">
        <v>175</v>
      </c>
      <c r="C40" t="s">
        <v>176</v>
      </c>
      <c r="J40">
        <f>EXP(1)</f>
        <v>2.7182818284590451</v>
      </c>
      <c r="K40" t="str">
        <f ca="1">_xlfn.FORMULATEXT(J40)</f>
        <v>=EXP(1)</v>
      </c>
      <c r="L40"/>
    </row>
    <row r="41" spans="2:12" ht="15.75" thickBot="1" x14ac:dyDescent="0.3">
      <c r="L41"/>
    </row>
    <row r="42" spans="2:12" ht="15.75" thickBot="1" x14ac:dyDescent="0.3">
      <c r="G42" s="253" t="s">
        <v>178</v>
      </c>
      <c r="H42" s="254"/>
      <c r="I42" s="254"/>
      <c r="J42" s="255"/>
      <c r="L42"/>
    </row>
    <row r="43" spans="2:12" ht="15.75" thickBot="1" x14ac:dyDescent="0.3">
      <c r="B43" t="s">
        <v>177</v>
      </c>
      <c r="G43" s="95" t="s">
        <v>5</v>
      </c>
      <c r="H43" s="17"/>
      <c r="I43" s="17"/>
      <c r="J43" s="96" t="s">
        <v>179</v>
      </c>
      <c r="L43" t="s">
        <v>188</v>
      </c>
    </row>
    <row r="44" spans="2:12" x14ac:dyDescent="0.25">
      <c r="C44" cm="1">
        <f t="array" ref="C44:C143">_xlfn.SEQUENCE(100,,1,2000)</f>
        <v>1</v>
      </c>
      <c r="G44" s="94" cm="1">
        <f t="array" ref="G44:G143">FV(1/_xlfn.ANCHORARRAY(C44),_xlfn.ANCHORARRAY(C44),0,-1)</f>
        <v>2</v>
      </c>
      <c r="H44" s="94"/>
      <c r="I44" s="94"/>
      <c r="J44" s="94" cm="1">
        <f t="array" ref="J44:J143">(1+1/_xlfn.ANCHORARRAY(C44))^_xlfn.ANCHORARRAY(C44)</f>
        <v>2</v>
      </c>
      <c r="L44" s="101" cm="1">
        <f t="array" ref="L44:L143">$J$40-_xlfn.ANCHORARRAY(J44)</f>
        <v>0.71828182845904509</v>
      </c>
    </row>
    <row r="45" spans="2:12" x14ac:dyDescent="0.25">
      <c r="C45">
        <v>2001</v>
      </c>
      <c r="G45" s="94">
        <v>2.7176029086278204</v>
      </c>
      <c r="H45" s="94"/>
      <c r="I45" s="94"/>
      <c r="J45" s="94">
        <v>2.7176029086278204</v>
      </c>
      <c r="L45" s="101">
        <v>6.7891983122470023E-4</v>
      </c>
    </row>
    <row r="46" spans="2:12" x14ac:dyDescent="0.25">
      <c r="C46">
        <v>4001</v>
      </c>
      <c r="G46" s="94">
        <v>2.7179422059651785</v>
      </c>
      <c r="H46" s="94"/>
      <c r="I46" s="94"/>
      <c r="J46" s="94">
        <v>2.7179422059651785</v>
      </c>
      <c r="L46" s="101">
        <v>3.3962249386654264E-4</v>
      </c>
    </row>
    <row r="47" spans="2:12" x14ac:dyDescent="0.25">
      <c r="C47">
        <v>6001</v>
      </c>
      <c r="G47" s="94">
        <v>2.7180553773116709</v>
      </c>
      <c r="H47" s="94"/>
      <c r="I47" s="94"/>
      <c r="J47" s="94">
        <v>2.7180553773116709</v>
      </c>
      <c r="L47" s="101">
        <v>2.2645114737418481E-4</v>
      </c>
    </row>
    <row r="48" spans="2:12" x14ac:dyDescent="0.25">
      <c r="C48">
        <v>8001</v>
      </c>
      <c r="G48" s="94">
        <v>2.7181119765369188</v>
      </c>
      <c r="H48" s="94"/>
      <c r="I48" s="94"/>
      <c r="J48" s="94">
        <v>2.7181119765369188</v>
      </c>
      <c r="L48" s="101">
        <v>1.6985192212626288E-4</v>
      </c>
    </row>
    <row r="49" spans="3:12" x14ac:dyDescent="0.25">
      <c r="C49">
        <v>10001</v>
      </c>
      <c r="G49" s="94">
        <v>2.7181459404114046</v>
      </c>
      <c r="H49" s="94"/>
      <c r="I49" s="94"/>
      <c r="J49" s="94">
        <v>2.7181459404114046</v>
      </c>
      <c r="L49" s="101">
        <v>1.3588804764053108E-4</v>
      </c>
    </row>
    <row r="50" spans="3:12" x14ac:dyDescent="0.25">
      <c r="C50">
        <v>12001</v>
      </c>
      <c r="G50" s="94">
        <v>2.7181685848048924</v>
      </c>
      <c r="H50" s="94"/>
      <c r="I50" s="94"/>
      <c r="J50" s="94">
        <v>2.7181685848048924</v>
      </c>
      <c r="L50" s="101">
        <v>1.1324365415266158E-4</v>
      </c>
    </row>
    <row r="51" spans="3:12" x14ac:dyDescent="0.25">
      <c r="C51">
        <v>14001</v>
      </c>
      <c r="G51" s="94">
        <v>2.718184760252905</v>
      </c>
      <c r="H51" s="94"/>
      <c r="I51" s="94"/>
      <c r="J51" s="94">
        <v>2.718184760252905</v>
      </c>
      <c r="L51" s="101">
        <v>9.7068206140082935E-5</v>
      </c>
    </row>
    <row r="52" spans="3:12" x14ac:dyDescent="0.25">
      <c r="C52">
        <v>16001</v>
      </c>
      <c r="G52" s="94">
        <v>2.7181968923246713</v>
      </c>
      <c r="H52" s="94"/>
      <c r="I52" s="94"/>
      <c r="J52" s="94">
        <v>2.7181968923246713</v>
      </c>
      <c r="L52" s="101">
        <v>8.4936134373769789E-5</v>
      </c>
    </row>
    <row r="53" spans="3:12" x14ac:dyDescent="0.25">
      <c r="C53">
        <v>18001</v>
      </c>
      <c r="G53" s="94">
        <v>2.7182063286767382</v>
      </c>
      <c r="H53" s="94"/>
      <c r="I53" s="94"/>
      <c r="J53" s="94">
        <v>2.7182063286767382</v>
      </c>
      <c r="L53" s="101">
        <v>7.5499782306920338E-5</v>
      </c>
    </row>
    <row r="54" spans="3:12" x14ac:dyDescent="0.25">
      <c r="C54">
        <v>20001</v>
      </c>
      <c r="G54" s="94">
        <v>2.7182138779211997</v>
      </c>
      <c r="H54" s="94"/>
      <c r="I54" s="94"/>
      <c r="J54" s="94">
        <v>2.7182138779211997</v>
      </c>
      <c r="L54" s="101">
        <v>6.7950537845362646E-5</v>
      </c>
    </row>
    <row r="55" spans="3:12" x14ac:dyDescent="0.25">
      <c r="C55">
        <v>22001</v>
      </c>
      <c r="G55" s="94">
        <v>2.7182200547024116</v>
      </c>
      <c r="H55" s="94"/>
      <c r="I55" s="94"/>
      <c r="J55" s="94">
        <v>2.7182200547024116</v>
      </c>
      <c r="L55" s="101">
        <v>6.1773756633520804E-5</v>
      </c>
    </row>
    <row r="56" spans="3:12" x14ac:dyDescent="0.25">
      <c r="C56">
        <v>24001</v>
      </c>
      <c r="G56" s="94">
        <v>2.7182252021079161</v>
      </c>
      <c r="H56" s="94"/>
      <c r="I56" s="94"/>
      <c r="J56" s="94">
        <v>2.7182252021079161</v>
      </c>
      <c r="L56" s="101">
        <v>5.6626351129018815E-5</v>
      </c>
    </row>
    <row r="57" spans="3:12" x14ac:dyDescent="0.25">
      <c r="C57">
        <v>26001</v>
      </c>
      <c r="G57" s="94">
        <v>2.718229557662279</v>
      </c>
      <c r="H57" s="94"/>
      <c r="I57" s="94"/>
      <c r="J57" s="94">
        <v>2.718229557662279</v>
      </c>
      <c r="L57" s="101">
        <v>5.2270796766062944E-5</v>
      </c>
    </row>
    <row r="58" spans="3:12" x14ac:dyDescent="0.25">
      <c r="C58">
        <v>28001</v>
      </c>
      <c r="G58" s="94">
        <v>2.7182332910409515</v>
      </c>
      <c r="H58" s="94"/>
      <c r="I58" s="94"/>
      <c r="J58" s="94">
        <v>2.7182332910409515</v>
      </c>
      <c r="L58" s="101">
        <v>4.8537418093630436E-5</v>
      </c>
    </row>
    <row r="59" spans="3:12" x14ac:dyDescent="0.25">
      <c r="C59">
        <v>30001</v>
      </c>
      <c r="G59" s="94">
        <v>2.7182365266508048</v>
      </c>
      <c r="H59" s="94"/>
      <c r="I59" s="94"/>
      <c r="J59" s="94">
        <v>2.7182365266508048</v>
      </c>
      <c r="L59" s="101">
        <v>4.5301808240250097E-5</v>
      </c>
    </row>
    <row r="60" spans="3:12" x14ac:dyDescent="0.25">
      <c r="C60">
        <v>32001</v>
      </c>
      <c r="G60" s="94">
        <v>2.7182393578453783</v>
      </c>
      <c r="H60" s="94"/>
      <c r="I60" s="94"/>
      <c r="J60" s="94">
        <v>2.7182393578453783</v>
      </c>
      <c r="L60" s="101">
        <v>4.2470613666800716E-5</v>
      </c>
    </row>
    <row r="61" spans="3:12" x14ac:dyDescent="0.25">
      <c r="C61">
        <v>34001</v>
      </c>
      <c r="G61" s="94">
        <v>2.7182418559772441</v>
      </c>
      <c r="H61" s="94"/>
      <c r="I61" s="94"/>
      <c r="J61" s="94">
        <v>2.7182418559772441</v>
      </c>
      <c r="L61" s="101">
        <v>3.9972481800987225E-5</v>
      </c>
    </row>
    <row r="62" spans="3:12" x14ac:dyDescent="0.25">
      <c r="C62">
        <v>36001</v>
      </c>
      <c r="G62" s="94">
        <v>2.7182440765607661</v>
      </c>
      <c r="H62" s="94"/>
      <c r="I62" s="94"/>
      <c r="J62" s="94">
        <v>2.7182440765607661</v>
      </c>
      <c r="L62" s="101">
        <v>3.7751898279037022E-5</v>
      </c>
    </row>
    <row r="63" spans="3:12" x14ac:dyDescent="0.25">
      <c r="C63">
        <v>38001</v>
      </c>
      <c r="G63" s="94">
        <v>2.7182460633865437</v>
      </c>
      <c r="H63" s="94"/>
      <c r="I63" s="94"/>
      <c r="J63" s="94">
        <v>2.7182460633865437</v>
      </c>
      <c r="L63" s="101">
        <v>3.5765072501359185E-5</v>
      </c>
    </row>
    <row r="64" spans="3:12" x14ac:dyDescent="0.25">
      <c r="C64">
        <v>40001</v>
      </c>
      <c r="G64" s="94">
        <v>2.7182478515694872</v>
      </c>
      <c r="H64" s="94"/>
      <c r="I64" s="94"/>
      <c r="J64" s="94">
        <v>2.7182478515694872</v>
      </c>
      <c r="L64" s="101">
        <v>3.3976889557862933E-5</v>
      </c>
    </row>
    <row r="65" spans="3:12" x14ac:dyDescent="0.25">
      <c r="C65">
        <v>42001</v>
      </c>
      <c r="G65" s="94">
        <v>2.7182494694288155</v>
      </c>
      <c r="H65" s="94"/>
      <c r="I65" s="94"/>
      <c r="J65" s="94">
        <v>2.7182494694288155</v>
      </c>
      <c r="L65" s="101">
        <v>3.2359030229578423E-5</v>
      </c>
    </row>
    <row r="66" spans="3:12" x14ac:dyDescent="0.25">
      <c r="C66">
        <v>44001</v>
      </c>
      <c r="G66" s="94">
        <v>2.718250940237521</v>
      </c>
      <c r="H66" s="94"/>
      <c r="I66" s="94"/>
      <c r="J66" s="94">
        <v>2.718250940237521</v>
      </c>
      <c r="L66" s="101">
        <v>3.0888221524083548E-5</v>
      </c>
    </row>
    <row r="67" spans="3:12" x14ac:dyDescent="0.25">
      <c r="C67">
        <v>46001</v>
      </c>
      <c r="G67" s="94">
        <v>2.7182522831699321</v>
      </c>
      <c r="H67" s="94"/>
      <c r="I67" s="94"/>
      <c r="J67" s="94">
        <v>2.7182522831699321</v>
      </c>
      <c r="L67" s="101">
        <v>2.9545289113031004E-5</v>
      </c>
    </row>
    <row r="68" spans="3:12" x14ac:dyDescent="0.25">
      <c r="C68">
        <v>48001</v>
      </c>
      <c r="G68" s="94">
        <v>2.7182535141440156</v>
      </c>
      <c r="H68" s="94"/>
      <c r="I68" s="94"/>
      <c r="J68" s="94">
        <v>2.7182535141440156</v>
      </c>
      <c r="L68" s="101">
        <v>2.8314315029476234E-5</v>
      </c>
    </row>
    <row r="69" spans="3:12" x14ac:dyDescent="0.25">
      <c r="C69">
        <v>50001</v>
      </c>
      <c r="G69" s="94">
        <v>2.7182546466954589</v>
      </c>
      <c r="H69" s="94"/>
      <c r="I69" s="94"/>
      <c r="J69" s="94">
        <v>2.7182546466954589</v>
      </c>
      <c r="L69" s="101">
        <v>2.7181763586181518E-5</v>
      </c>
    </row>
    <row r="70" spans="3:12" x14ac:dyDescent="0.25">
      <c r="C70">
        <v>52001</v>
      </c>
      <c r="G70" s="94">
        <v>2.7182556920843637</v>
      </c>
      <c r="H70" s="94"/>
      <c r="I70" s="94"/>
      <c r="J70" s="94">
        <v>2.7182556920843637</v>
      </c>
      <c r="L70" s="101">
        <v>2.6136374681406949E-5</v>
      </c>
    </row>
    <row r="71" spans="3:12" x14ac:dyDescent="0.25">
      <c r="C71">
        <v>54001</v>
      </c>
      <c r="G71" s="94">
        <v>2.7182566600858693</v>
      </c>
      <c r="H71" s="94"/>
      <c r="I71" s="94"/>
      <c r="J71" s="94">
        <v>2.7182566600858693</v>
      </c>
      <c r="L71" s="101">
        <v>2.5168373175787906E-5</v>
      </c>
    </row>
    <row r="72" spans="3:12" x14ac:dyDescent="0.25">
      <c r="C72">
        <v>56001</v>
      </c>
      <c r="G72" s="94">
        <v>2.718257558919511</v>
      </c>
      <c r="H72" s="94"/>
      <c r="I72" s="94"/>
      <c r="J72" s="94">
        <v>2.718257558919511</v>
      </c>
      <c r="L72" s="101">
        <v>2.4269539534049756E-5</v>
      </c>
    </row>
    <row r="73" spans="3:12" x14ac:dyDescent="0.25">
      <c r="C73">
        <v>58001</v>
      </c>
      <c r="G73" s="94">
        <v>2.718258395764523</v>
      </c>
      <c r="H73" s="94"/>
      <c r="I73" s="94"/>
      <c r="J73" s="94">
        <v>2.718258395764523</v>
      </c>
      <c r="L73" s="101">
        <v>2.3432694522096398E-5</v>
      </c>
    </row>
    <row r="74" spans="3:12" x14ac:dyDescent="0.25">
      <c r="C74">
        <v>60001</v>
      </c>
      <c r="G74" s="94">
        <v>2.7182591768134321</v>
      </c>
      <c r="H74" s="94"/>
      <c r="I74" s="94"/>
      <c r="J74" s="94">
        <v>2.7182591768134321</v>
      </c>
      <c r="L74" s="101">
        <v>2.2651645612992155E-5</v>
      </c>
    </row>
    <row r="75" spans="3:12" x14ac:dyDescent="0.25">
      <c r="C75">
        <v>62001</v>
      </c>
      <c r="G75" s="94">
        <v>2.7182599074944629</v>
      </c>
      <c r="H75" s="94"/>
      <c r="I75" s="94"/>
      <c r="J75" s="94">
        <v>2.7182599074944629</v>
      </c>
      <c r="L75" s="101">
        <v>2.1920964582200497E-5</v>
      </c>
    </row>
    <row r="76" spans="3:12" x14ac:dyDescent="0.25">
      <c r="C76">
        <v>64001</v>
      </c>
      <c r="G76" s="94">
        <v>2.718260592507483</v>
      </c>
      <c r="H76" s="94"/>
      <c r="I76" s="94"/>
      <c r="J76" s="94">
        <v>2.718260592507483</v>
      </c>
      <c r="L76" s="101">
        <v>2.1235951562115218E-5</v>
      </c>
    </row>
    <row r="77" spans="3:12" x14ac:dyDescent="0.25">
      <c r="C77">
        <v>66001</v>
      </c>
      <c r="G77" s="94">
        <v>2.7182612360151559</v>
      </c>
      <c r="H77" s="94"/>
      <c r="I77" s="94"/>
      <c r="J77" s="94">
        <v>2.7182612360151559</v>
      </c>
      <c r="L77" s="101">
        <v>2.0592443889189127E-5</v>
      </c>
    </row>
    <row r="78" spans="3:12" x14ac:dyDescent="0.25">
      <c r="C78">
        <v>68001</v>
      </c>
      <c r="G78" s="94">
        <v>2.7182618416371218</v>
      </c>
      <c r="H78" s="94"/>
      <c r="I78" s="94"/>
      <c r="J78" s="94">
        <v>2.7182618416371218</v>
      </c>
      <c r="L78" s="101">
        <v>1.9986821923279052E-5</v>
      </c>
    </row>
    <row r="79" spans="3:12" x14ac:dyDescent="0.25">
      <c r="C79">
        <v>70001</v>
      </c>
      <c r="G79" s="94">
        <v>2.718262412695041</v>
      </c>
      <c r="H79" s="94"/>
      <c r="I79" s="94"/>
      <c r="J79" s="94">
        <v>2.718262412695041</v>
      </c>
      <c r="L79" s="101">
        <v>1.941576400410483E-5</v>
      </c>
    </row>
    <row r="80" spans="3:12" x14ac:dyDescent="0.25">
      <c r="C80">
        <v>72001</v>
      </c>
      <c r="G80" s="94">
        <v>2.7182629520175148</v>
      </c>
      <c r="H80" s="94"/>
      <c r="I80" s="94"/>
      <c r="J80" s="94">
        <v>2.7182629520175148</v>
      </c>
      <c r="L80" s="101">
        <v>1.8876441530313315E-5</v>
      </c>
    </row>
    <row r="81" spans="3:12" x14ac:dyDescent="0.25">
      <c r="C81">
        <v>74001</v>
      </c>
      <c r="G81" s="94">
        <v>2.7182634621724246</v>
      </c>
      <c r="H81" s="94"/>
      <c r="I81" s="94"/>
      <c r="J81" s="94">
        <v>2.7182634621724246</v>
      </c>
      <c r="L81" s="101">
        <v>1.8366286620441485E-5</v>
      </c>
    </row>
    <row r="82" spans="3:12" x14ac:dyDescent="0.25">
      <c r="C82">
        <v>76001</v>
      </c>
      <c r="G82" s="94">
        <v>2.7182639454821156</v>
      </c>
      <c r="H82" s="94"/>
      <c r="I82" s="94"/>
      <c r="J82" s="94">
        <v>2.7182639454821156</v>
      </c>
      <c r="L82" s="101">
        <v>1.7882976929506356E-5</v>
      </c>
    </row>
    <row r="83" spans="3:12" x14ac:dyDescent="0.25">
      <c r="C83">
        <v>78001</v>
      </c>
      <c r="G83" s="94">
        <v>2.7182644040171851</v>
      </c>
      <c r="H83" s="94"/>
      <c r="I83" s="94"/>
      <c r="J83" s="94">
        <v>2.7182644040171851</v>
      </c>
      <c r="L83" s="101">
        <v>1.7424441860036666E-5</v>
      </c>
    </row>
    <row r="84" spans="3:12" x14ac:dyDescent="0.25">
      <c r="C84">
        <v>80001</v>
      </c>
      <c r="G84" s="94">
        <v>2.7182648395911189</v>
      </c>
      <c r="H84" s="94"/>
      <c r="I84" s="94"/>
      <c r="J84" s="94">
        <v>2.7182648395911189</v>
      </c>
      <c r="L84" s="101">
        <v>1.6988867926226447E-5</v>
      </c>
    </row>
    <row r="85" spans="3:12" x14ac:dyDescent="0.25">
      <c r="C85">
        <v>82001</v>
      </c>
      <c r="G85" s="94">
        <v>2.718265253992632</v>
      </c>
      <c r="H85" s="94"/>
      <c r="I85" s="94"/>
      <c r="J85" s="94">
        <v>2.718265253992632</v>
      </c>
      <c r="L85" s="101">
        <v>1.6574466413121769E-5</v>
      </c>
    </row>
    <row r="86" spans="3:12" x14ac:dyDescent="0.25">
      <c r="C86">
        <v>84001</v>
      </c>
      <c r="G86" s="94">
        <v>2.7182656486075572</v>
      </c>
      <c r="H86" s="94"/>
      <c r="I86" s="94"/>
      <c r="J86" s="94">
        <v>2.7182656486075572</v>
      </c>
      <c r="L86" s="101">
        <v>1.6179851487940766E-5</v>
      </c>
    </row>
    <row r="87" spans="3:12" x14ac:dyDescent="0.25">
      <c r="C87">
        <v>86001</v>
      </c>
      <c r="G87" s="94">
        <v>2.7182660248532438</v>
      </c>
      <c r="H87" s="94"/>
      <c r="I87" s="94"/>
      <c r="J87" s="94">
        <v>2.7182660248532438</v>
      </c>
      <c r="L87" s="101">
        <v>1.5803605801334442E-5</v>
      </c>
    </row>
    <row r="88" spans="3:12" x14ac:dyDescent="0.25">
      <c r="C88">
        <v>88001</v>
      </c>
      <c r="G88" s="94">
        <v>2.7182663840448096</v>
      </c>
      <c r="H88" s="94"/>
      <c r="I88" s="94"/>
      <c r="J88" s="94">
        <v>2.7182663840448096</v>
      </c>
      <c r="L88" s="101">
        <v>1.5444414235510351E-5</v>
      </c>
    </row>
    <row r="89" spans="3:12" x14ac:dyDescent="0.25">
      <c r="C89">
        <v>90001</v>
      </c>
      <c r="G89" s="94">
        <v>2.7182667272291732</v>
      </c>
      <c r="H89" s="94"/>
      <c r="I89" s="94"/>
      <c r="J89" s="94">
        <v>2.7182667272291732</v>
      </c>
      <c r="L89" s="101">
        <v>1.5101229871916644E-5</v>
      </c>
    </row>
    <row r="90" spans="3:12" x14ac:dyDescent="0.25">
      <c r="C90">
        <v>92001</v>
      </c>
      <c r="G90" s="94">
        <v>2.7182670555022987</v>
      </c>
      <c r="H90" s="94"/>
      <c r="I90" s="94"/>
      <c r="J90" s="94">
        <v>2.7182670555022987</v>
      </c>
      <c r="L90" s="101">
        <v>1.4772956746345045E-5</v>
      </c>
    </row>
    <row r="91" spans="3:12" x14ac:dyDescent="0.25">
      <c r="C91">
        <v>94001</v>
      </c>
      <c r="G91" s="94">
        <v>2.7182673698406643</v>
      </c>
      <c r="H91" s="94"/>
      <c r="I91" s="94"/>
      <c r="J91" s="94">
        <v>2.7182673698406643</v>
      </c>
      <c r="L91" s="101">
        <v>1.4458618380785992E-5</v>
      </c>
    </row>
    <row r="92" spans="3:12" x14ac:dyDescent="0.25">
      <c r="C92">
        <v>96001</v>
      </c>
      <c r="G92" s="94">
        <v>2.7182676710509703</v>
      </c>
      <c r="H92" s="94"/>
      <c r="I92" s="94"/>
      <c r="J92" s="94">
        <v>2.7182676710509703</v>
      </c>
      <c r="L92" s="101">
        <v>1.4157408074755296E-5</v>
      </c>
    </row>
    <row r="93" spans="3:12" x14ac:dyDescent="0.25">
      <c r="C93">
        <v>98001</v>
      </c>
      <c r="G93" s="94">
        <v>2.7182679599631072</v>
      </c>
      <c r="H93" s="94"/>
      <c r="I93" s="94"/>
      <c r="J93" s="94">
        <v>2.7182679599631072</v>
      </c>
      <c r="L93" s="101">
        <v>1.3868495937874314E-5</v>
      </c>
    </row>
    <row r="94" spans="3:12" x14ac:dyDescent="0.25">
      <c r="C94">
        <v>100001</v>
      </c>
      <c r="G94" s="94">
        <v>2.7182682372960314</v>
      </c>
      <c r="H94" s="94"/>
      <c r="I94" s="94"/>
      <c r="J94" s="94">
        <v>2.7182682372960314</v>
      </c>
      <c r="L94" s="101">
        <v>1.3591163013693119E-5</v>
      </c>
    </row>
    <row r="95" spans="3:12" x14ac:dyDescent="0.25">
      <c r="C95">
        <v>102001</v>
      </c>
      <c r="G95" s="94">
        <v>2.7182685038169301</v>
      </c>
      <c r="H95" s="94"/>
      <c r="I95" s="94"/>
      <c r="J95" s="94">
        <v>2.7182685038169301</v>
      </c>
      <c r="L95" s="101">
        <v>1.3324642115009055E-5</v>
      </c>
    </row>
    <row r="96" spans="3:12" x14ac:dyDescent="0.25">
      <c r="C96">
        <v>104001</v>
      </c>
      <c r="G96" s="94">
        <v>2.7182687600462789</v>
      </c>
      <c r="H96" s="94"/>
      <c r="I96" s="94"/>
      <c r="J96" s="94">
        <v>2.7182687600462789</v>
      </c>
      <c r="L96" s="101">
        <v>1.3068412766159554E-5</v>
      </c>
    </row>
    <row r="97" spans="3:12" x14ac:dyDescent="0.25">
      <c r="C97">
        <v>106001</v>
      </c>
      <c r="G97" s="94">
        <v>2.7182690065722559</v>
      </c>
      <c r="H97" s="94"/>
      <c r="I97" s="94"/>
      <c r="J97" s="94">
        <v>2.7182690065722559</v>
      </c>
      <c r="L97" s="101">
        <v>1.2821886789193826E-5</v>
      </c>
    </row>
    <row r="98" spans="3:12" x14ac:dyDescent="0.25">
      <c r="C98">
        <v>108001</v>
      </c>
      <c r="G98" s="94">
        <v>2.7182692440277769</v>
      </c>
      <c r="H98" s="94"/>
      <c r="I98" s="94"/>
      <c r="J98" s="94">
        <v>2.7182692440277769</v>
      </c>
      <c r="L98" s="101">
        <v>1.2584431268169993E-5</v>
      </c>
    </row>
    <row r="99" spans="3:12" x14ac:dyDescent="0.25">
      <c r="C99">
        <v>110001</v>
      </c>
      <c r="G99" s="94">
        <v>2.718269472841321</v>
      </c>
      <c r="H99" s="94"/>
      <c r="I99" s="94"/>
      <c r="J99" s="94">
        <v>2.718269472841321</v>
      </c>
      <c r="L99" s="101">
        <v>1.2355617724058021E-5</v>
      </c>
    </row>
    <row r="100" spans="3:12" x14ac:dyDescent="0.25">
      <c r="C100">
        <v>112001</v>
      </c>
      <c r="G100" s="94">
        <v>2.7182696935132284</v>
      </c>
      <c r="H100" s="94"/>
      <c r="I100" s="94"/>
      <c r="J100" s="94">
        <v>2.7182696935132284</v>
      </c>
      <c r="L100" s="101">
        <v>1.2134945816644205E-5</v>
      </c>
    </row>
    <row r="101" spans="3:12" x14ac:dyDescent="0.25">
      <c r="C101">
        <v>114001</v>
      </c>
      <c r="G101" s="94">
        <v>2.7182699063662885</v>
      </c>
      <c r="H101" s="94"/>
      <c r="I101" s="94"/>
      <c r="J101" s="94">
        <v>2.7182699063662885</v>
      </c>
      <c r="L101" s="101">
        <v>1.192209275657774E-5</v>
      </c>
    </row>
    <row r="102" spans="3:12" x14ac:dyDescent="0.25">
      <c r="C102">
        <v>116001</v>
      </c>
      <c r="G102" s="94">
        <v>2.7182701119398924</v>
      </c>
      <c r="H102" s="94"/>
      <c r="I102" s="94"/>
      <c r="J102" s="94">
        <v>2.7182701119398924</v>
      </c>
      <c r="L102" s="101">
        <v>1.1716519152660254E-5</v>
      </c>
    </row>
    <row r="103" spans="3:12" x14ac:dyDescent="0.25">
      <c r="C103">
        <v>118001</v>
      </c>
      <c r="G103" s="94">
        <v>2.7182703104811741</v>
      </c>
      <c r="H103" s="94"/>
      <c r="I103" s="94"/>
      <c r="J103" s="94">
        <v>2.7182703104811741</v>
      </c>
      <c r="L103" s="101">
        <v>1.1517977871022822E-5</v>
      </c>
    </row>
    <row r="104" spans="3:12" x14ac:dyDescent="0.25">
      <c r="C104">
        <v>120001</v>
      </c>
      <c r="G104" s="94">
        <v>2.7182705024327642</v>
      </c>
      <c r="H104" s="94"/>
      <c r="I104" s="94"/>
      <c r="J104" s="94">
        <v>2.7182705024327642</v>
      </c>
      <c r="L104" s="101">
        <v>1.1326026280844559E-5</v>
      </c>
    </row>
    <row r="105" spans="3:12" x14ac:dyDescent="0.25">
      <c r="C105">
        <v>122001</v>
      </c>
      <c r="G105" s="94">
        <v>2.7182706881766721</v>
      </c>
      <c r="H105" s="94"/>
      <c r="I105" s="94"/>
      <c r="J105" s="94">
        <v>2.7182706881766721</v>
      </c>
      <c r="L105" s="101">
        <v>1.1140282373034438E-5</v>
      </c>
    </row>
    <row r="106" spans="3:12" x14ac:dyDescent="0.25">
      <c r="C106">
        <v>124001</v>
      </c>
      <c r="G106" s="94">
        <v>2.718270867816206</v>
      </c>
      <c r="H106" s="94"/>
      <c r="I106" s="94"/>
      <c r="J106" s="94">
        <v>2.718270867816206</v>
      </c>
      <c r="L106" s="101">
        <v>1.0960642839119572E-5</v>
      </c>
    </row>
    <row r="107" spans="3:12" x14ac:dyDescent="0.25">
      <c r="C107">
        <v>126001</v>
      </c>
      <c r="G107" s="94">
        <v>2.7182710417735092</v>
      </c>
      <c r="H107" s="94"/>
      <c r="I107" s="94"/>
      <c r="J107" s="94">
        <v>2.7182710417735092</v>
      </c>
      <c r="L107" s="101">
        <v>1.0786685535890683E-5</v>
      </c>
    </row>
    <row r="108" spans="3:12" x14ac:dyDescent="0.25">
      <c r="C108">
        <v>128001</v>
      </c>
      <c r="G108" s="94">
        <v>2.718271210337027</v>
      </c>
      <c r="H108" s="94"/>
      <c r="I108" s="94"/>
      <c r="J108" s="94">
        <v>2.718271210337027</v>
      </c>
      <c r="L108" s="101">
        <v>1.0618122018080101E-5</v>
      </c>
    </row>
    <row r="109" spans="3:12" x14ac:dyDescent="0.25">
      <c r="C109">
        <v>130001</v>
      </c>
      <c r="G109" s="94">
        <v>2.7182713737270143</v>
      </c>
      <c r="H109" s="94"/>
      <c r="I109" s="94"/>
      <c r="J109" s="94">
        <v>2.7182713737270143</v>
      </c>
      <c r="L109" s="101">
        <v>1.0454732030762415E-5</v>
      </c>
    </row>
    <row r="110" spans="3:12" x14ac:dyDescent="0.25">
      <c r="C110">
        <v>132001</v>
      </c>
      <c r="G110" s="94">
        <v>2.7182715320593891</v>
      </c>
      <c r="H110" s="94"/>
      <c r="I110" s="94"/>
      <c r="J110" s="94">
        <v>2.7182715320593891</v>
      </c>
      <c r="L110" s="101">
        <v>1.0296399655995714E-5</v>
      </c>
    </row>
    <row r="111" spans="3:12" x14ac:dyDescent="0.25">
      <c r="C111">
        <v>134001</v>
      </c>
      <c r="G111" s="94">
        <v>2.7182716857606923</v>
      </c>
      <c r="H111" s="94"/>
      <c r="I111" s="94"/>
      <c r="J111" s="94">
        <v>2.7182716857606923</v>
      </c>
      <c r="L111" s="101">
        <v>1.0142698352755275E-5</v>
      </c>
    </row>
    <row r="112" spans="3:12" x14ac:dyDescent="0.25">
      <c r="C112">
        <v>136001</v>
      </c>
      <c r="G112" s="94">
        <v>2.7182718349466102</v>
      </c>
      <c r="H112" s="94"/>
      <c r="I112" s="94"/>
      <c r="J112" s="94">
        <v>2.7182718349466102</v>
      </c>
      <c r="L112" s="101">
        <v>9.9935124349137539E-6</v>
      </c>
    </row>
    <row r="113" spans="3:12" x14ac:dyDescent="0.25">
      <c r="C113">
        <v>138001</v>
      </c>
      <c r="G113" s="94">
        <v>2.7182719797105732</v>
      </c>
      <c r="H113" s="94"/>
      <c r="I113" s="94"/>
      <c r="J113" s="94">
        <v>2.7182719797105732</v>
      </c>
      <c r="L113" s="101">
        <v>9.8487484718745577E-6</v>
      </c>
    </row>
    <row r="114" spans="3:12" x14ac:dyDescent="0.25">
      <c r="C114">
        <v>140001</v>
      </c>
      <c r="G114" s="94">
        <v>2.7182721204184777</v>
      </c>
      <c r="H114" s="94"/>
      <c r="I114" s="94"/>
      <c r="J114" s="94">
        <v>2.7182721204184777</v>
      </c>
      <c r="L114" s="101">
        <v>9.7080405674354608E-6</v>
      </c>
    </row>
    <row r="115" spans="3:12" x14ac:dyDescent="0.25">
      <c r="C115">
        <v>142001</v>
      </c>
      <c r="G115" s="94">
        <v>2.7182722571978921</v>
      </c>
      <c r="H115" s="94"/>
      <c r="I115" s="94"/>
      <c r="J115" s="94">
        <v>2.7182722571978921</v>
      </c>
      <c r="L115" s="101">
        <v>9.5712611529741309E-6</v>
      </c>
    </row>
    <row r="116" spans="3:12" x14ac:dyDescent="0.25">
      <c r="C116">
        <v>144001</v>
      </c>
      <c r="G116" s="94">
        <v>2.7182723900581829</v>
      </c>
      <c r="H116" s="94"/>
      <c r="I116" s="94"/>
      <c r="J116" s="94">
        <v>2.7182723900581829</v>
      </c>
      <c r="L116" s="101">
        <v>9.438400862205043E-6</v>
      </c>
    </row>
    <row r="117" spans="3:12" x14ac:dyDescent="0.25">
      <c r="C117">
        <v>146001</v>
      </c>
      <c r="G117" s="94">
        <v>2.7182725194156969</v>
      </c>
      <c r="H117" s="94"/>
      <c r="I117" s="94"/>
      <c r="J117" s="94">
        <v>2.7182725194156969</v>
      </c>
      <c r="L117" s="101">
        <v>9.3090433481712864E-6</v>
      </c>
    </row>
    <row r="118" spans="3:12" x14ac:dyDescent="0.25">
      <c r="C118">
        <v>148001</v>
      </c>
      <c r="G118" s="94">
        <v>2.7182726451709769</v>
      </c>
      <c r="H118" s="94"/>
      <c r="I118" s="94"/>
      <c r="J118" s="94">
        <v>2.7182726451709769</v>
      </c>
      <c r="L118" s="101">
        <v>9.1832880682041207E-6</v>
      </c>
    </row>
    <row r="119" spans="3:12" x14ac:dyDescent="0.25">
      <c r="C119">
        <v>150001</v>
      </c>
      <c r="G119" s="94">
        <v>2.7182727676168201</v>
      </c>
      <c r="H119" s="94"/>
      <c r="I119" s="94"/>
      <c r="J119" s="94">
        <v>2.7182727676168201</v>
      </c>
      <c r="L119" s="101">
        <v>9.0608422249616183E-6</v>
      </c>
    </row>
    <row r="120" spans="3:12" x14ac:dyDescent="0.25">
      <c r="C120">
        <v>152001</v>
      </c>
      <c r="G120" s="94">
        <v>2.7182728868810377</v>
      </c>
      <c r="H120" s="94"/>
      <c r="I120" s="94"/>
      <c r="J120" s="94">
        <v>2.7182728868810377</v>
      </c>
      <c r="L120" s="101">
        <v>8.9415780073487383E-6</v>
      </c>
    </row>
    <row r="121" spans="3:12" x14ac:dyDescent="0.25">
      <c r="C121">
        <v>154001</v>
      </c>
      <c r="G121" s="94">
        <v>2.7182730030164688</v>
      </c>
      <c r="H121" s="94"/>
      <c r="I121" s="94"/>
      <c r="J121" s="94">
        <v>2.7182730030164688</v>
      </c>
      <c r="L121" s="101">
        <v>8.8254425762990252E-6</v>
      </c>
    </row>
    <row r="122" spans="3:12" x14ac:dyDescent="0.25">
      <c r="C122">
        <v>156001</v>
      </c>
      <c r="G122" s="94">
        <v>2.718273116169708</v>
      </c>
      <c r="H122" s="94"/>
      <c r="I122" s="94"/>
      <c r="J122" s="94">
        <v>2.718273116169708</v>
      </c>
      <c r="L122" s="101">
        <v>8.712289337076129E-6</v>
      </c>
    </row>
    <row r="123" spans="3:12" x14ac:dyDescent="0.25">
      <c r="C123">
        <v>158001</v>
      </c>
      <c r="G123" s="94">
        <v>2.7182732263429581</v>
      </c>
      <c r="H123" s="94"/>
      <c r="I123" s="94"/>
      <c r="J123" s="94">
        <v>2.7182732263429581</v>
      </c>
      <c r="L123" s="101">
        <v>8.6021160869975688E-6</v>
      </c>
    </row>
    <row r="124" spans="3:12" x14ac:dyDescent="0.25">
      <c r="C124">
        <v>160001</v>
      </c>
      <c r="G124" s="94">
        <v>2.7182733339126393</v>
      </c>
      <c r="H124" s="94"/>
      <c r="I124" s="94"/>
      <c r="J124" s="94">
        <v>2.7182733339126393</v>
      </c>
      <c r="L124" s="101">
        <v>8.494546405835024E-6</v>
      </c>
    </row>
    <row r="125" spans="3:12" x14ac:dyDescent="0.25">
      <c r="C125">
        <v>162001</v>
      </c>
      <c r="G125" s="94">
        <v>2.7182734388045211</v>
      </c>
      <c r="H125" s="94"/>
      <c r="I125" s="94"/>
      <c r="J125" s="94">
        <v>2.7182734388045211</v>
      </c>
      <c r="L125" s="101">
        <v>8.3896545239880993E-6</v>
      </c>
    </row>
    <row r="126" spans="3:12" x14ac:dyDescent="0.25">
      <c r="C126">
        <v>164001</v>
      </c>
      <c r="G126" s="94">
        <v>2.7182735411568162</v>
      </c>
      <c r="H126" s="94"/>
      <c r="I126" s="94"/>
      <c r="J126" s="94">
        <v>2.7182735411568162</v>
      </c>
      <c r="L126" s="101">
        <v>8.2873022289042808E-6</v>
      </c>
    </row>
    <row r="127" spans="3:12" x14ac:dyDescent="0.25">
      <c r="C127">
        <v>166001</v>
      </c>
      <c r="G127" s="94">
        <v>2.7182736409694463</v>
      </c>
      <c r="H127" s="94"/>
      <c r="I127" s="94"/>
      <c r="J127" s="94">
        <v>2.7182736409694463</v>
      </c>
      <c r="L127" s="101">
        <v>8.1874895987432694E-6</v>
      </c>
    </row>
    <row r="128" spans="3:12" x14ac:dyDescent="0.25">
      <c r="C128">
        <v>168001</v>
      </c>
      <c r="G128" s="94">
        <v>2.7182737384168747</v>
      </c>
      <c r="H128" s="94"/>
      <c r="I128" s="94"/>
      <c r="J128" s="94">
        <v>2.7182737384168747</v>
      </c>
      <c r="L128" s="101">
        <v>8.0900421703944403E-6</v>
      </c>
    </row>
    <row r="129" spans="3:12" x14ac:dyDescent="0.25">
      <c r="C129">
        <v>170001</v>
      </c>
      <c r="G129" s="94">
        <v>2.7182738336055641</v>
      </c>
      <c r="H129" s="94"/>
      <c r="I129" s="94"/>
      <c r="J129" s="94">
        <v>2.7182738336055641</v>
      </c>
      <c r="L129" s="101">
        <v>7.9948534810192484E-6</v>
      </c>
    </row>
    <row r="130" spans="3:12" x14ac:dyDescent="0.25">
      <c r="C130">
        <v>172001</v>
      </c>
      <c r="G130" s="94">
        <v>2.7182739265785778</v>
      </c>
      <c r="H130" s="94"/>
      <c r="I130" s="94"/>
      <c r="J130" s="94">
        <v>2.7182739265785778</v>
      </c>
      <c r="L130" s="101">
        <v>7.9018804672870147E-6</v>
      </c>
    </row>
    <row r="131" spans="3:12" x14ac:dyDescent="0.25">
      <c r="C131">
        <v>174001</v>
      </c>
      <c r="G131" s="94">
        <v>2.7182740174394628</v>
      </c>
      <c r="H131" s="94"/>
      <c r="I131" s="94"/>
      <c r="J131" s="94">
        <v>2.7182740174394628</v>
      </c>
      <c r="L131" s="101">
        <v>7.8110195822489459E-6</v>
      </c>
    </row>
    <row r="132" spans="3:12" x14ac:dyDescent="0.25">
      <c r="C132">
        <v>176001</v>
      </c>
      <c r="G132" s="94">
        <v>2.7182741061195252</v>
      </c>
      <c r="H132" s="94"/>
      <c r="I132" s="94"/>
      <c r="J132" s="94">
        <v>2.7182741061195252</v>
      </c>
      <c r="L132" s="101">
        <v>7.7223395198444678E-6</v>
      </c>
    </row>
    <row r="133" spans="3:12" x14ac:dyDescent="0.25">
      <c r="C133">
        <v>178001</v>
      </c>
      <c r="G133" s="94">
        <v>2.7182741929615051</v>
      </c>
      <c r="H133" s="94"/>
      <c r="I133" s="94"/>
      <c r="J133" s="94">
        <v>2.7182741929615051</v>
      </c>
      <c r="L133" s="101">
        <v>7.6354975400150238E-6</v>
      </c>
    </row>
    <row r="134" spans="3:12" x14ac:dyDescent="0.25">
      <c r="C134">
        <v>180001</v>
      </c>
      <c r="G134" s="94">
        <v>2.7182742777718554</v>
      </c>
      <c r="H134" s="94"/>
      <c r="I134" s="94"/>
      <c r="J134" s="94">
        <v>2.7182742777718554</v>
      </c>
      <c r="L134" s="101">
        <v>7.5506871897168537E-6</v>
      </c>
    </row>
    <row r="135" spans="3:12" x14ac:dyDescent="0.25">
      <c r="C135">
        <v>182001</v>
      </c>
      <c r="G135" s="94">
        <v>2.7182743607462965</v>
      </c>
      <c r="H135" s="94"/>
      <c r="I135" s="94"/>
      <c r="J135" s="94">
        <v>2.7182743607462965</v>
      </c>
      <c r="L135" s="101">
        <v>7.4677127486211248E-6</v>
      </c>
    </row>
    <row r="136" spans="3:12" x14ac:dyDescent="0.25">
      <c r="C136">
        <v>184001</v>
      </c>
      <c r="G136" s="94">
        <v>2.7182744419299443</v>
      </c>
      <c r="H136" s="94"/>
      <c r="I136" s="94"/>
      <c r="J136" s="94">
        <v>2.7182744419299443</v>
      </c>
      <c r="L136" s="101">
        <v>7.3865291008168299E-6</v>
      </c>
    </row>
    <row r="137" spans="3:12" x14ac:dyDescent="0.25">
      <c r="C137">
        <v>186001</v>
      </c>
      <c r="G137" s="94">
        <v>2.7182745212753239</v>
      </c>
      <c r="H137" s="94"/>
      <c r="I137" s="94"/>
      <c r="J137" s="94">
        <v>2.7182745212753239</v>
      </c>
      <c r="L137" s="101">
        <v>7.3071837212168589E-6</v>
      </c>
    </row>
    <row r="138" spans="3:12" x14ac:dyDescent="0.25">
      <c r="C138">
        <v>188001</v>
      </c>
      <c r="G138" s="94">
        <v>2.7182745991213451</v>
      </c>
      <c r="H138" s="94"/>
      <c r="I138" s="94"/>
      <c r="J138" s="94">
        <v>2.7182745991213451</v>
      </c>
      <c r="L138" s="101">
        <v>7.2293377000320902E-6</v>
      </c>
    </row>
    <row r="139" spans="3:12" x14ac:dyDescent="0.25">
      <c r="C139">
        <v>190001</v>
      </c>
      <c r="G139" s="94">
        <v>2.7182746751783076</v>
      </c>
      <c r="H139" s="94"/>
      <c r="I139" s="94"/>
      <c r="J139" s="94">
        <v>2.7182746751783076</v>
      </c>
      <c r="L139" s="101">
        <v>7.1532807375263019E-6</v>
      </c>
    </row>
    <row r="140" spans="3:12" x14ac:dyDescent="0.25">
      <c r="C140">
        <v>192001</v>
      </c>
      <c r="G140" s="94">
        <v>2.7182747496995621</v>
      </c>
      <c r="H140" s="94"/>
      <c r="I140" s="94"/>
      <c r="J140" s="94">
        <v>2.7182747496995621</v>
      </c>
      <c r="L140" s="101">
        <v>7.0787594830257206E-6</v>
      </c>
    </row>
    <row r="141" spans="3:12" x14ac:dyDescent="0.25">
      <c r="C141">
        <v>194001</v>
      </c>
      <c r="G141" s="94">
        <v>2.7182748227242448</v>
      </c>
      <c r="H141" s="94"/>
      <c r="I141" s="94"/>
      <c r="J141" s="94">
        <v>2.7182748227242448</v>
      </c>
      <c r="L141" s="101">
        <v>7.0057348002805497E-6</v>
      </c>
    </row>
    <row r="142" spans="3:12" x14ac:dyDescent="0.25">
      <c r="C142">
        <v>196001</v>
      </c>
      <c r="G142" s="94">
        <v>2.7182748940686676</v>
      </c>
      <c r="H142" s="94"/>
      <c r="I142" s="94"/>
      <c r="J142" s="94">
        <v>2.7182748940686676</v>
      </c>
      <c r="L142" s="101">
        <v>6.9343903774665705E-6</v>
      </c>
    </row>
    <row r="143" spans="3:12" x14ac:dyDescent="0.25">
      <c r="C143">
        <v>198001</v>
      </c>
      <c r="G143" s="94">
        <v>2.7182749641921085</v>
      </c>
      <c r="H143" s="94"/>
      <c r="I143" s="94"/>
      <c r="J143" s="94">
        <v>2.7182749641921085</v>
      </c>
      <c r="L143" s="101">
        <v>6.8642669366347775E-6</v>
      </c>
    </row>
  </sheetData>
  <mergeCells count="9">
    <mergeCell ref="B2:C2"/>
    <mergeCell ref="E8:F8"/>
    <mergeCell ref="E13:F13"/>
    <mergeCell ref="E18:F18"/>
    <mergeCell ref="G42:J42"/>
    <mergeCell ref="E28:F28"/>
    <mergeCell ref="E23:F23"/>
    <mergeCell ref="E33:F33"/>
    <mergeCell ref="E38:F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5BBA-7E77-46F6-BF3D-FE1E4CBF18C4}">
  <dimension ref="B1:V56"/>
  <sheetViews>
    <sheetView zoomScale="115" zoomScaleNormal="115" workbookViewId="0"/>
  </sheetViews>
  <sheetFormatPr defaultRowHeight="15" x14ac:dyDescent="0.25"/>
  <cols>
    <col min="1" max="1" width="2.5703125" customWidth="1"/>
    <col min="2" max="2" width="11" customWidth="1"/>
    <col min="3" max="3" width="18" customWidth="1"/>
    <col min="4" max="4" width="3.140625" customWidth="1"/>
    <col min="7" max="7" width="10.28515625" customWidth="1"/>
    <col min="8" max="8" width="6" customWidth="1"/>
    <col min="9" max="9" width="3.140625" customWidth="1"/>
    <col min="10" max="10" width="12.85546875" customWidth="1"/>
    <col min="14" max="14" width="12.28515625" customWidth="1"/>
    <col min="15" max="15" width="6.140625" customWidth="1"/>
    <col min="16" max="16" width="6.7109375" customWidth="1"/>
    <col min="17" max="17" width="2.5703125" customWidth="1"/>
  </cols>
  <sheetData>
    <row r="1" spans="2:22" ht="18.75" x14ac:dyDescent="0.3">
      <c r="B1" s="115" t="s">
        <v>108</v>
      </c>
      <c r="C1" s="115"/>
      <c r="D1" s="115"/>
      <c r="E1" s="115"/>
      <c r="F1" s="115"/>
      <c r="G1" s="115"/>
      <c r="H1" s="115"/>
      <c r="I1" s="115"/>
      <c r="J1" s="115"/>
    </row>
    <row r="4" spans="2:22" ht="37.9" customHeight="1" x14ac:dyDescent="0.25">
      <c r="B4" s="257" t="s">
        <v>109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</row>
    <row r="6" spans="2:22" ht="15.75" x14ac:dyDescent="0.25">
      <c r="B6" s="118" t="s">
        <v>130</v>
      </c>
      <c r="C6" s="118"/>
      <c r="D6" s="116" t="s">
        <v>112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2"/>
      <c r="V6" s="2"/>
    </row>
    <row r="7" spans="2:22" ht="15.75" x14ac:dyDescent="0.25">
      <c r="B7" s="26"/>
      <c r="C7" s="26"/>
      <c r="D7" s="126" t="s">
        <v>137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U7" s="2"/>
      <c r="V7" s="2"/>
    </row>
    <row r="8" spans="2:22" ht="15.75" x14ac:dyDescent="0.25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2:22" ht="15.75" x14ac:dyDescent="0.25">
      <c r="B9" s="118" t="s">
        <v>111</v>
      </c>
      <c r="C9" s="118"/>
      <c r="D9" s="256">
        <f>RATE(5, -110, 500)</f>
        <v>3.2634958177826343E-2</v>
      </c>
      <c r="E9" s="256"/>
      <c r="F9" s="111" t="str">
        <f ca="1">_xlfn.FORMULATEXT(D9)</f>
        <v>=RATE(5; -110; 500)</v>
      </c>
      <c r="G9" s="111"/>
      <c r="H9" s="111"/>
      <c r="K9" s="38"/>
      <c r="L9" s="38"/>
      <c r="M9" s="38"/>
      <c r="Q9" s="38"/>
      <c r="R9" s="2"/>
      <c r="S9" s="2"/>
      <c r="T9" s="2"/>
      <c r="U9" s="2"/>
      <c r="V9" s="2"/>
    </row>
    <row r="10" spans="2:22" ht="15.75" x14ac:dyDescent="0.25">
      <c r="C10" s="7"/>
      <c r="D10" s="127" t="s">
        <v>110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2"/>
      <c r="T10" s="2"/>
      <c r="U10" s="2"/>
      <c r="V10" s="2"/>
    </row>
    <row r="11" spans="2:22" ht="15.75" x14ac:dyDescent="0.25"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2:22" ht="15.75" x14ac:dyDescent="0.25">
      <c r="C12" s="111" t="s">
        <v>158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</row>
    <row r="14" spans="2:22" ht="15.75" x14ac:dyDescent="0.25">
      <c r="B14" s="111" t="s">
        <v>117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</row>
    <row r="15" spans="2:22" ht="15.75" thickBot="1" x14ac:dyDescent="0.3"/>
    <row r="16" spans="2:22" ht="15.75" x14ac:dyDescent="0.25">
      <c r="B16" s="268" t="s">
        <v>113</v>
      </c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70"/>
    </row>
    <row r="17" spans="2:21" ht="16.5" thickBot="1" x14ac:dyDescent="0.3">
      <c r="B17" s="6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70"/>
    </row>
    <row r="18" spans="2:21" ht="16.5" thickBot="1" x14ac:dyDescent="0.3">
      <c r="B18" s="14"/>
      <c r="F18" s="259" t="s">
        <v>116</v>
      </c>
      <c r="G18" s="260"/>
      <c r="H18" s="260"/>
      <c r="I18" s="260"/>
      <c r="J18" s="260"/>
      <c r="K18" s="261"/>
      <c r="U18" s="70"/>
    </row>
    <row r="19" spans="2:21" x14ac:dyDescent="0.25">
      <c r="B19" s="14"/>
      <c r="F19" s="262" t="s">
        <v>114</v>
      </c>
      <c r="G19" s="263"/>
      <c r="H19" s="264"/>
      <c r="I19" s="263" t="s">
        <v>115</v>
      </c>
      <c r="J19" s="263"/>
      <c r="K19" s="264"/>
      <c r="U19" s="13"/>
    </row>
    <row r="20" spans="2:21" ht="15.75" x14ac:dyDescent="0.25">
      <c r="B20" s="14"/>
      <c r="E20" s="71" t="s">
        <v>126</v>
      </c>
      <c r="F20" s="276">
        <f>RATE(5, -110, 500)</f>
        <v>3.2634958177826343E-2</v>
      </c>
      <c r="G20" s="274"/>
      <c r="H20" s="275"/>
      <c r="I20" s="274">
        <f>RATE(5, 110, -500)</f>
        <v>3.2634958177826169E-2</v>
      </c>
      <c r="J20" s="274"/>
      <c r="K20" s="275"/>
      <c r="L20" t="s">
        <v>127</v>
      </c>
      <c r="U20" s="13"/>
    </row>
    <row r="21" spans="2:21" ht="16.5" thickBot="1" x14ac:dyDescent="0.3">
      <c r="B21" s="14"/>
      <c r="F21" s="265" t="str">
        <f ca="1">_xlfn.FORMULATEXT(F20)</f>
        <v>=RATE(5; -110; 500)</v>
      </c>
      <c r="G21" s="266"/>
      <c r="H21" s="267"/>
      <c r="I21" s="266" t="str">
        <f ca="1">_xlfn.FORMULATEXT(I20)</f>
        <v>=RATE(5; 110; -500)</v>
      </c>
      <c r="J21" s="266"/>
      <c r="K21" s="267"/>
      <c r="U21" s="13"/>
    </row>
    <row r="22" spans="2:21" ht="16.5" thickBot="1" x14ac:dyDescent="0.3">
      <c r="B22" s="65"/>
      <c r="C22" s="66"/>
      <c r="D22" s="66"/>
      <c r="E22" s="66"/>
      <c r="F22" s="66"/>
      <c r="G22" s="6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8"/>
    </row>
    <row r="23" spans="2:21" ht="15.75" thickBot="1" x14ac:dyDescent="0.3"/>
    <row r="24" spans="2:21" ht="15.75" x14ac:dyDescent="0.25">
      <c r="B24" s="268" t="s">
        <v>123</v>
      </c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70"/>
    </row>
    <row r="25" spans="2:21" ht="15.75" x14ac:dyDescent="0.25">
      <c r="B25" s="69"/>
      <c r="C25" s="2" t="s">
        <v>124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70"/>
    </row>
    <row r="26" spans="2:21" x14ac:dyDescent="0.25">
      <c r="B26" s="14"/>
      <c r="U26" s="13"/>
    </row>
    <row r="27" spans="2:21" ht="15.75" thickBot="1" x14ac:dyDescent="0.3">
      <c r="B27" s="14"/>
      <c r="C27" s="1" t="s">
        <v>118</v>
      </c>
      <c r="U27" s="13"/>
    </row>
    <row r="28" spans="2:21" ht="15.75" thickBot="1" x14ac:dyDescent="0.3">
      <c r="B28" s="14"/>
      <c r="C28" s="9" t="s">
        <v>125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3" t="s">
        <v>119</v>
      </c>
      <c r="P28" s="10"/>
      <c r="Q28" s="10"/>
      <c r="R28" s="10"/>
      <c r="S28" s="10"/>
      <c r="T28" s="11"/>
      <c r="U28" s="13"/>
    </row>
    <row r="29" spans="2:21" ht="16.5" thickBot="1" x14ac:dyDescent="0.3">
      <c r="B29" s="14"/>
      <c r="C29" s="272">
        <f>RATE(5, -110, 500, 15)</f>
        <v>2.3429419006224108E-2</v>
      </c>
      <c r="D29" s="273"/>
      <c r="E29" s="273"/>
      <c r="F29" s="259" t="str">
        <f ca="1">_xlfn.FORMULATEXT(C29)</f>
        <v>=RATE(5; -110; 500; 15)</v>
      </c>
      <c r="G29" s="260"/>
      <c r="H29" s="261"/>
      <c r="J29" s="117" t="s">
        <v>121</v>
      </c>
      <c r="K29" s="117"/>
      <c r="L29" s="117"/>
      <c r="M29" s="117"/>
      <c r="N29" s="117"/>
      <c r="O29" s="272">
        <f>RATE(5, 110, -500, -15)</f>
        <v>2.3429419006224427E-2</v>
      </c>
      <c r="P29" s="273"/>
      <c r="Q29" s="277"/>
      <c r="R29" s="260" t="str">
        <f ca="1">_xlfn.FORMULATEXT(O29)</f>
        <v>=RATE(5; 110; -500; -15)</v>
      </c>
      <c r="S29" s="260"/>
      <c r="T29" s="261"/>
      <c r="U29" s="13"/>
    </row>
    <row r="30" spans="2:21" ht="16.5" thickBot="1" x14ac:dyDescent="0.3">
      <c r="B30" s="14"/>
      <c r="C30" s="272">
        <f>RATE(5, -110, 500, -15)</f>
        <v>4.1418728892287218E-2</v>
      </c>
      <c r="D30" s="273"/>
      <c r="E30" s="273"/>
      <c r="F30" s="259" t="str">
        <f ca="1">_xlfn.FORMULATEXT(C30)</f>
        <v>=RATE(5; -110; 500; -15)</v>
      </c>
      <c r="G30" s="260"/>
      <c r="H30" s="261"/>
      <c r="I30" s="17"/>
      <c r="J30" s="232" t="s">
        <v>122</v>
      </c>
      <c r="K30" s="232"/>
      <c r="L30" s="232"/>
      <c r="M30" s="232"/>
      <c r="N30" s="232"/>
      <c r="O30" s="272">
        <f>RATE(5, 110, -500, 15)</f>
        <v>4.1418728892921454E-2</v>
      </c>
      <c r="P30" s="273"/>
      <c r="Q30" s="277"/>
      <c r="R30" s="260" t="str">
        <f ca="1">_xlfn.FORMULATEXT(O30)</f>
        <v>=RATE(5; 110; -500; 15)</v>
      </c>
      <c r="S30" s="260"/>
      <c r="T30" s="261"/>
      <c r="U30" s="13"/>
    </row>
    <row r="31" spans="2:21" ht="15.75" thickBot="1" x14ac:dyDescent="0.3">
      <c r="B31" s="16"/>
      <c r="C31" s="17"/>
      <c r="D31" s="17"/>
      <c r="E31" s="17"/>
      <c r="F31" s="17"/>
      <c r="G31" s="17"/>
      <c r="H31" s="17"/>
      <c r="I31" s="17"/>
      <c r="J31" s="271" t="s">
        <v>120</v>
      </c>
      <c r="K31" s="271"/>
      <c r="L31" s="271"/>
      <c r="M31" s="271"/>
      <c r="N31" s="271"/>
      <c r="O31" s="17"/>
      <c r="P31" s="17"/>
      <c r="Q31" s="17"/>
      <c r="R31" s="17"/>
      <c r="S31" s="17"/>
      <c r="T31" s="17"/>
      <c r="U31" s="18"/>
    </row>
    <row r="32" spans="2:21" ht="15.75" thickBot="1" x14ac:dyDescent="0.3">
      <c r="J32" s="30"/>
      <c r="K32" s="30"/>
      <c r="L32" s="30"/>
      <c r="M32" s="30"/>
      <c r="N32" s="30"/>
    </row>
    <row r="33" spans="2:21" ht="15.75" x14ac:dyDescent="0.25">
      <c r="B33" s="268" t="s">
        <v>153</v>
      </c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70"/>
    </row>
    <row r="34" spans="2:21" ht="43.15" customHeight="1" x14ac:dyDescent="0.25">
      <c r="B34" s="69"/>
      <c r="C34" s="257" t="s">
        <v>156</v>
      </c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70"/>
    </row>
    <row r="35" spans="2:21" ht="36" customHeight="1" x14ac:dyDescent="0.25">
      <c r="B35" s="69"/>
      <c r="C35" s="257" t="s">
        <v>154</v>
      </c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70"/>
    </row>
    <row r="36" spans="2:21" ht="15.75" thickBot="1" x14ac:dyDescent="0.3">
      <c r="B36" s="16"/>
      <c r="C36" s="17"/>
      <c r="D36" s="17"/>
      <c r="E36" s="17"/>
      <c r="F36" s="17"/>
      <c r="G36" s="17"/>
      <c r="H36" s="17"/>
      <c r="I36" s="17"/>
      <c r="J36" s="271"/>
      <c r="K36" s="271"/>
      <c r="L36" s="271"/>
      <c r="M36" s="271"/>
      <c r="N36" s="271"/>
      <c r="O36" s="17"/>
      <c r="P36" s="17"/>
      <c r="Q36" s="17"/>
      <c r="R36" s="17"/>
      <c r="S36" s="17"/>
      <c r="T36" s="17"/>
      <c r="U36" s="18"/>
    </row>
    <row r="38" spans="2:21" ht="46.5" x14ac:dyDescent="0.7">
      <c r="B38" s="72" t="s">
        <v>128</v>
      </c>
    </row>
    <row r="39" spans="2:21" x14ac:dyDescent="0.25">
      <c r="C39" s="120" t="s">
        <v>129</v>
      </c>
      <c r="D39" s="120"/>
      <c r="E39" s="120"/>
      <c r="F39" s="120"/>
      <c r="G39" s="120"/>
      <c r="H39" s="1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21" ht="31.9" customHeight="1" x14ac:dyDescent="0.25">
      <c r="C40" s="280" t="s">
        <v>140</v>
      </c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</row>
    <row r="41" spans="2:21" ht="15.75" thickBot="1" x14ac:dyDescent="0.3">
      <c r="C41" s="6"/>
    </row>
    <row r="42" spans="2:21" x14ac:dyDescent="0.25">
      <c r="B42" s="1" t="s">
        <v>131</v>
      </c>
      <c r="C42" s="209" t="s">
        <v>132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6"/>
    </row>
    <row r="43" spans="2:21" x14ac:dyDescent="0.25">
      <c r="C43" s="14" t="s">
        <v>134</v>
      </c>
      <c r="S43" s="13"/>
    </row>
    <row r="44" spans="2:21" ht="15.75" thickBot="1" x14ac:dyDescent="0.3">
      <c r="C44" s="14"/>
      <c r="S44" s="13"/>
    </row>
    <row r="45" spans="2:21" x14ac:dyDescent="0.25">
      <c r="C45" s="14"/>
      <c r="E45" s="9" t="s">
        <v>133</v>
      </c>
      <c r="F45" s="10"/>
      <c r="G45" s="10"/>
      <c r="H45" s="10"/>
      <c r="I45" s="105" t="s">
        <v>136</v>
      </c>
      <c r="J45" s="106"/>
      <c r="S45" s="13"/>
    </row>
    <row r="46" spans="2:21" ht="15.75" x14ac:dyDescent="0.25">
      <c r="C46" s="14"/>
      <c r="E46" s="67">
        <f>RATE(5, -110, 500)</f>
        <v>3.2634958177826343E-2</v>
      </c>
      <c r="F46" s="68"/>
      <c r="G46" s="73" t="s">
        <v>16</v>
      </c>
      <c r="I46" s="278">
        <f>E46*12</f>
        <v>0.39161949813391611</v>
      </c>
      <c r="J46" s="279"/>
      <c r="K46" t="s">
        <v>155</v>
      </c>
      <c r="S46" s="13"/>
    </row>
    <row r="47" spans="2:21" ht="16.5" thickBot="1" x14ac:dyDescent="0.3">
      <c r="C47" s="14"/>
      <c r="E47" s="265" t="str">
        <f ca="1">_xlfn.FORMULATEXT(E46)</f>
        <v>=RATE(5; -110; 500)</v>
      </c>
      <c r="F47" s="266"/>
      <c r="G47" s="266"/>
      <c r="H47" s="266"/>
      <c r="I47" s="266" t="str">
        <f t="shared" ref="I47" ca="1" si="0">_xlfn.FORMULATEXT(I46)</f>
        <v>=E46*12</v>
      </c>
      <c r="J47" s="267"/>
      <c r="S47" s="13"/>
    </row>
    <row r="48" spans="2:21" ht="15.75" thickBot="1" x14ac:dyDescent="0.3"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8"/>
    </row>
    <row r="49" spans="2:19" ht="15.75" thickBot="1" x14ac:dyDescent="0.3"/>
    <row r="50" spans="2:19" x14ac:dyDescent="0.25">
      <c r="B50" s="1" t="s">
        <v>138</v>
      </c>
      <c r="C50" s="209" t="s">
        <v>139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6"/>
    </row>
    <row r="51" spans="2:19" x14ac:dyDescent="0.25">
      <c r="C51" s="14" t="s">
        <v>134</v>
      </c>
      <c r="S51" s="13"/>
    </row>
    <row r="52" spans="2:19" ht="15.75" thickBot="1" x14ac:dyDescent="0.3">
      <c r="C52" s="14"/>
      <c r="S52" s="13"/>
    </row>
    <row r="53" spans="2:19" x14ac:dyDescent="0.25">
      <c r="C53" s="14"/>
      <c r="E53" s="9" t="s">
        <v>133</v>
      </c>
      <c r="F53" s="10"/>
      <c r="G53" s="10"/>
      <c r="H53" s="10"/>
      <c r="I53" s="105" t="s">
        <v>141</v>
      </c>
      <c r="J53" s="106"/>
      <c r="S53" s="13"/>
    </row>
    <row r="54" spans="2:19" ht="15.75" x14ac:dyDescent="0.25">
      <c r="C54" s="14"/>
      <c r="E54" s="67">
        <f>RATE(5, -110, 500)</f>
        <v>3.2634958177826343E-2</v>
      </c>
      <c r="F54" s="68"/>
      <c r="G54" s="73" t="s">
        <v>18</v>
      </c>
      <c r="I54" s="278">
        <f>E54*7</f>
        <v>0.22844470724478438</v>
      </c>
      <c r="J54" s="279"/>
      <c r="K54" t="s">
        <v>155</v>
      </c>
      <c r="S54" s="13"/>
    </row>
    <row r="55" spans="2:19" ht="16.5" thickBot="1" x14ac:dyDescent="0.3">
      <c r="C55" s="14"/>
      <c r="E55" s="265" t="str">
        <f ca="1">_xlfn.FORMULATEXT(E54)</f>
        <v>=RATE(5; -110; 500)</v>
      </c>
      <c r="F55" s="266"/>
      <c r="G55" s="266"/>
      <c r="H55" s="266"/>
      <c r="I55" s="266" t="str">
        <f t="shared" ref="I55" ca="1" si="1">_xlfn.FORMULATEXT(I54)</f>
        <v>=E54*7</v>
      </c>
      <c r="J55" s="267"/>
      <c r="S55" s="13"/>
    </row>
    <row r="56" spans="2:19" ht="15.75" thickBot="1" x14ac:dyDescent="0.3"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8"/>
    </row>
  </sheetData>
  <mergeCells count="49">
    <mergeCell ref="J36:N36"/>
    <mergeCell ref="B33:U33"/>
    <mergeCell ref="C34:T34"/>
    <mergeCell ref="C35:T35"/>
    <mergeCell ref="C50:S50"/>
    <mergeCell ref="C39:H39"/>
    <mergeCell ref="C40:S40"/>
    <mergeCell ref="C42:S42"/>
    <mergeCell ref="E47:F47"/>
    <mergeCell ref="I45:J45"/>
    <mergeCell ref="G47:H47"/>
    <mergeCell ref="I47:J47"/>
    <mergeCell ref="I46:J46"/>
    <mergeCell ref="I53:J53"/>
    <mergeCell ref="I54:J54"/>
    <mergeCell ref="E55:F55"/>
    <mergeCell ref="G55:H55"/>
    <mergeCell ref="I55:J55"/>
    <mergeCell ref="J31:N31"/>
    <mergeCell ref="C30:E30"/>
    <mergeCell ref="F30:H30"/>
    <mergeCell ref="I20:K20"/>
    <mergeCell ref="I21:K21"/>
    <mergeCell ref="B24:U24"/>
    <mergeCell ref="C29:E29"/>
    <mergeCell ref="F29:H29"/>
    <mergeCell ref="J29:N29"/>
    <mergeCell ref="F20:H20"/>
    <mergeCell ref="J30:N30"/>
    <mergeCell ref="O29:Q29"/>
    <mergeCell ref="R29:T29"/>
    <mergeCell ref="O30:Q30"/>
    <mergeCell ref="R30:T30"/>
    <mergeCell ref="F18:K18"/>
    <mergeCell ref="F19:H19"/>
    <mergeCell ref="F21:H21"/>
    <mergeCell ref="I19:K19"/>
    <mergeCell ref="D10:R10"/>
    <mergeCell ref="C12:V12"/>
    <mergeCell ref="B14:U14"/>
    <mergeCell ref="B16:U16"/>
    <mergeCell ref="B9:C9"/>
    <mergeCell ref="D9:E9"/>
    <mergeCell ref="F9:H9"/>
    <mergeCell ref="B1:J1"/>
    <mergeCell ref="B4:U4"/>
    <mergeCell ref="B6:C6"/>
    <mergeCell ref="D6:T6"/>
    <mergeCell ref="D7:Q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5FD0-0B4B-4B2F-B29F-3007231B6969}">
  <dimension ref="B1:M21"/>
  <sheetViews>
    <sheetView zoomScale="130" zoomScaleNormal="130" workbookViewId="0"/>
  </sheetViews>
  <sheetFormatPr defaultRowHeight="15" x14ac:dyDescent="0.25"/>
  <cols>
    <col min="1" max="1" width="4.140625" customWidth="1"/>
    <col min="2" max="2" width="9.28515625" bestFit="1" customWidth="1"/>
    <col min="3" max="3" width="7" customWidth="1"/>
    <col min="4" max="4" width="8.7109375" customWidth="1"/>
    <col min="5" max="5" width="15.42578125" bestFit="1" customWidth="1"/>
    <col min="6" max="6" width="4.7109375" customWidth="1"/>
    <col min="7" max="7" width="9.42578125" customWidth="1"/>
    <col min="8" max="8" width="7.140625" customWidth="1"/>
    <col min="9" max="9" width="15.140625" bestFit="1" customWidth="1"/>
    <col min="10" max="10" width="13.28515625" customWidth="1"/>
    <col min="11" max="11" width="25.5703125" hidden="1" customWidth="1"/>
    <col min="12" max="12" width="10.28515625" bestFit="1" customWidth="1"/>
    <col min="13" max="13" width="2.5703125" customWidth="1"/>
  </cols>
  <sheetData>
    <row r="1" spans="2:13" ht="21" x14ac:dyDescent="0.35">
      <c r="B1" s="226" t="s">
        <v>144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4" spans="2:13" x14ac:dyDescent="0.25">
      <c r="C4" s="1" t="s">
        <v>145</v>
      </c>
    </row>
    <row r="5" spans="2:13" ht="15.75" thickBot="1" x14ac:dyDescent="0.3">
      <c r="C5" t="s">
        <v>149</v>
      </c>
    </row>
    <row r="6" spans="2:13" ht="29.45" customHeight="1" thickBot="1" x14ac:dyDescent="0.3">
      <c r="B6" s="51"/>
      <c r="C6" s="282" t="s">
        <v>148</v>
      </c>
      <c r="D6" s="225"/>
      <c r="E6" s="52" t="s">
        <v>72</v>
      </c>
      <c r="F6" s="224" t="s">
        <v>71</v>
      </c>
      <c r="G6" s="225"/>
      <c r="H6" s="75" t="s">
        <v>150</v>
      </c>
      <c r="I6" s="74" t="s">
        <v>147</v>
      </c>
      <c r="J6" s="53" t="s">
        <v>151</v>
      </c>
      <c r="K6" s="80"/>
      <c r="L6" s="81" t="s">
        <v>152</v>
      </c>
    </row>
    <row r="7" spans="2:13" x14ac:dyDescent="0.25">
      <c r="B7" s="12" t="s">
        <v>61</v>
      </c>
      <c r="C7" s="14">
        <v>28</v>
      </c>
      <c r="D7" s="13" t="s">
        <v>36</v>
      </c>
      <c r="E7" t="s">
        <v>13</v>
      </c>
      <c r="F7" s="54" t="s">
        <v>146</v>
      </c>
      <c r="G7" s="13" t="s">
        <v>92</v>
      </c>
      <c r="H7" s="76">
        <v>300</v>
      </c>
      <c r="I7" s="55">
        <v>30</v>
      </c>
      <c r="J7" s="78">
        <f>RATE(C7,-I7,H7)</f>
        <v>9.1350245364210853E-2</v>
      </c>
      <c r="K7" s="80" t="str">
        <f ca="1">_xlfn.FORMULATEXT(J7)</f>
        <v>=RATE(C7;-I7;H7)</v>
      </c>
      <c r="L7" s="82">
        <f>I7*C7*1</f>
        <v>840</v>
      </c>
      <c r="M7" s="80"/>
    </row>
    <row r="8" spans="2:13" x14ac:dyDescent="0.25">
      <c r="B8" s="12" t="s">
        <v>62</v>
      </c>
      <c r="C8" s="14">
        <v>28</v>
      </c>
      <c r="D8" s="13" t="s">
        <v>34</v>
      </c>
      <c r="E8" t="s">
        <v>16</v>
      </c>
      <c r="F8" s="54" t="s">
        <v>146</v>
      </c>
      <c r="G8" s="13" t="s">
        <v>92</v>
      </c>
      <c r="H8" s="76">
        <v>300</v>
      </c>
      <c r="I8" s="55">
        <v>30</v>
      </c>
      <c r="J8" s="78">
        <f>RATE(C8,-I8,H8)*12</f>
        <v>1.0962029443705301</v>
      </c>
      <c r="K8" s="80" t="str">
        <f t="shared" ref="K8:K13" ca="1" si="0">_xlfn.FORMULATEXT(J8)</f>
        <v>=RATE(C8;-I8;H8)*12</v>
      </c>
      <c r="L8" s="82">
        <f t="shared" ref="L8" si="1">I8*C8*1</f>
        <v>840</v>
      </c>
      <c r="M8" s="80"/>
    </row>
    <row r="9" spans="2:13" x14ac:dyDescent="0.25">
      <c r="B9" s="12" t="s">
        <v>63</v>
      </c>
      <c r="C9" s="14">
        <v>22</v>
      </c>
      <c r="D9" s="13" t="s">
        <v>36</v>
      </c>
      <c r="E9" t="s">
        <v>16</v>
      </c>
      <c r="F9" s="54" t="s">
        <v>146</v>
      </c>
      <c r="G9" s="13" t="s">
        <v>93</v>
      </c>
      <c r="H9" s="76">
        <v>500</v>
      </c>
      <c r="I9" s="55">
        <v>37</v>
      </c>
      <c r="J9" s="78">
        <f>RATE(12*C9,-I9,H9)*6</f>
        <v>0.44399999710096982</v>
      </c>
      <c r="K9" s="80" t="str">
        <f t="shared" ca="1" si="0"/>
        <v>=RATE(12*C9;-I9;H9)*6</v>
      </c>
      <c r="L9" s="82">
        <f>I9*C9*12</f>
        <v>9768</v>
      </c>
      <c r="M9" s="80"/>
    </row>
    <row r="10" spans="2:13" x14ac:dyDescent="0.25">
      <c r="B10" s="12" t="s">
        <v>64</v>
      </c>
      <c r="C10" s="14">
        <v>196</v>
      </c>
      <c r="D10" s="13" t="s">
        <v>31</v>
      </c>
      <c r="E10" t="s">
        <v>37</v>
      </c>
      <c r="F10" s="54" t="s">
        <v>146</v>
      </c>
      <c r="G10" s="13" t="s">
        <v>95</v>
      </c>
      <c r="H10" s="76">
        <v>700</v>
      </c>
      <c r="I10" s="55">
        <v>35</v>
      </c>
      <c r="J10" s="78">
        <f>RATE(C10/7,-I10,H10)</f>
        <v>2.4860457486373312E-2</v>
      </c>
      <c r="K10" s="80" t="str">
        <f t="shared" ca="1" si="0"/>
        <v>=RATE(C10/7;-I10;H10)</v>
      </c>
      <c r="L10" s="82">
        <f>I10*C10/7</f>
        <v>980</v>
      </c>
      <c r="M10" s="80"/>
    </row>
    <row r="11" spans="2:13" x14ac:dyDescent="0.25">
      <c r="B11" s="12" t="s">
        <v>65</v>
      </c>
      <c r="C11" s="14">
        <v>120</v>
      </c>
      <c r="D11" s="13" t="s">
        <v>34</v>
      </c>
      <c r="E11" t="s">
        <v>14</v>
      </c>
      <c r="F11" s="54" t="s">
        <v>146</v>
      </c>
      <c r="G11" s="13" t="s">
        <v>93</v>
      </c>
      <c r="H11" s="76">
        <v>1500</v>
      </c>
      <c r="I11" s="55">
        <v>79</v>
      </c>
      <c r="J11" s="78">
        <f>RATE(C11/6,-I11,H11)</f>
        <v>5.0003962988471509E-3</v>
      </c>
      <c r="K11" s="80" t="str">
        <f t="shared" ca="1" si="0"/>
        <v>=RATE(C11/6;-I11;H11)</v>
      </c>
      <c r="L11" s="82">
        <f>I11*C11/6</f>
        <v>1580</v>
      </c>
      <c r="M11" s="80"/>
    </row>
    <row r="12" spans="2:13" x14ac:dyDescent="0.25">
      <c r="B12" s="12" t="s">
        <v>66</v>
      </c>
      <c r="C12" s="14">
        <v>112</v>
      </c>
      <c r="D12" s="13" t="s">
        <v>36</v>
      </c>
      <c r="E12" t="s">
        <v>14</v>
      </c>
      <c r="F12" s="54" t="s">
        <v>146</v>
      </c>
      <c r="G12" s="13" t="s">
        <v>73</v>
      </c>
      <c r="H12" s="76">
        <v>999</v>
      </c>
      <c r="I12" s="55">
        <v>67</v>
      </c>
      <c r="J12" s="78">
        <f>RATE(C12*2,-I12,H12)*4</f>
        <v>0.26826813836269658</v>
      </c>
      <c r="K12" s="80" t="str">
        <f t="shared" ca="1" si="0"/>
        <v>=RATE(C12*2;-I12;H12)*4</v>
      </c>
      <c r="L12" s="82">
        <f>I12*C12*2</f>
        <v>15008</v>
      </c>
      <c r="M12" s="80"/>
    </row>
    <row r="13" spans="2:13" ht="15.75" thickBot="1" x14ac:dyDescent="0.3">
      <c r="B13" s="49" t="s">
        <v>67</v>
      </c>
      <c r="C13" s="16">
        <v>5</v>
      </c>
      <c r="D13" s="18" t="s">
        <v>33</v>
      </c>
      <c r="E13" s="17" t="s">
        <v>75</v>
      </c>
      <c r="F13" s="58" t="s">
        <v>146</v>
      </c>
      <c r="G13" s="18" t="s">
        <v>96</v>
      </c>
      <c r="H13" s="77">
        <v>666</v>
      </c>
      <c r="I13" s="59">
        <v>66</v>
      </c>
      <c r="J13" s="79">
        <f>RATE(C13*14,-I13,H13)*2</f>
        <v>0.19793014100245263</v>
      </c>
      <c r="K13" s="80" t="str">
        <f t="shared" ca="1" si="0"/>
        <v>=RATE(C13*14;-I13;H13)*2</v>
      </c>
      <c r="L13" s="83">
        <f>I13*C13*14</f>
        <v>4620</v>
      </c>
      <c r="M13" s="80"/>
    </row>
    <row r="14" spans="2:13" x14ac:dyDescent="0.25">
      <c r="K14" s="80"/>
      <c r="L14" s="80"/>
      <c r="M14" s="80"/>
    </row>
    <row r="16" spans="2:13" ht="15.75" thickBot="1" x14ac:dyDescent="0.3"/>
    <row r="17" spans="2:12" ht="30.75" thickBot="1" x14ac:dyDescent="0.3">
      <c r="B17" s="51"/>
      <c r="C17" s="282" t="s">
        <v>148</v>
      </c>
      <c r="D17" s="225"/>
      <c r="E17" s="52" t="s">
        <v>72</v>
      </c>
      <c r="F17" s="224" t="s">
        <v>71</v>
      </c>
      <c r="G17" s="225"/>
      <c r="H17" s="75" t="s">
        <v>150</v>
      </c>
      <c r="I17" s="74" t="s">
        <v>147</v>
      </c>
      <c r="J17" s="53" t="s">
        <v>151</v>
      </c>
      <c r="K17" s="80"/>
      <c r="L17" s="81" t="s">
        <v>152</v>
      </c>
    </row>
    <row r="18" spans="2:12" x14ac:dyDescent="0.25">
      <c r="B18" s="9" t="s">
        <v>68</v>
      </c>
      <c r="C18" s="84">
        <v>10</v>
      </c>
      <c r="D18" s="11" t="s">
        <v>34</v>
      </c>
      <c r="E18" s="10" t="s">
        <v>16</v>
      </c>
      <c r="F18" s="85" t="s">
        <v>146</v>
      </c>
      <c r="G18" s="11" t="s">
        <v>92</v>
      </c>
      <c r="H18" s="86">
        <v>300</v>
      </c>
      <c r="I18" s="87">
        <v>30</v>
      </c>
      <c r="J18" s="91">
        <f>RATE(C18,-I18,H18)*12</f>
        <v>-2.7135623429040155E-8</v>
      </c>
      <c r="K18" s="88" t="str">
        <f t="shared" ref="K18:K19" ca="1" si="2">_xlfn.FORMULATEXT(J18)</f>
        <v>=RATE(C18;-I18;H18)*12</v>
      </c>
      <c r="L18" s="89">
        <f t="shared" ref="L18" si="3">I18*C18*1</f>
        <v>300</v>
      </c>
    </row>
    <row r="19" spans="2:12" ht="15.75" thickBot="1" x14ac:dyDescent="0.3">
      <c r="B19" s="49" t="s">
        <v>78</v>
      </c>
      <c r="C19" s="16">
        <v>10</v>
      </c>
      <c r="D19" s="18" t="s">
        <v>36</v>
      </c>
      <c r="E19" s="17" t="s">
        <v>16</v>
      </c>
      <c r="F19" s="58" t="s">
        <v>146</v>
      </c>
      <c r="G19" s="18" t="s">
        <v>93</v>
      </c>
      <c r="H19" s="77">
        <v>500</v>
      </c>
      <c r="I19" s="59">
        <v>4</v>
      </c>
      <c r="J19" s="79">
        <f>RATE(12*C19,-I19,H19)*6</f>
        <v>-4.0203835880158944E-3</v>
      </c>
      <c r="K19" s="90" t="str">
        <f t="shared" ca="1" si="2"/>
        <v>=RATE(12*C19;-I19;H19)*6</v>
      </c>
      <c r="L19" s="83">
        <f>I19*C19*12</f>
        <v>480</v>
      </c>
    </row>
    <row r="20" spans="2:12" x14ac:dyDescent="0.25">
      <c r="B20" t="s">
        <v>168</v>
      </c>
    </row>
    <row r="21" spans="2:12" x14ac:dyDescent="0.25">
      <c r="B21" t="s">
        <v>157</v>
      </c>
    </row>
  </sheetData>
  <mergeCells count="5">
    <mergeCell ref="C17:D17"/>
    <mergeCell ref="F17:G17"/>
    <mergeCell ref="C6:D6"/>
    <mergeCell ref="F6:G6"/>
    <mergeCell ref="B1:M1"/>
  </mergeCells>
  <pageMargins left="0.7" right="0.7" top="0.75" bottom="0.75" header="0.3" footer="0.3"/>
  <ignoredErrors>
    <ignoredError sqref="J8 L7:L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DFA7B55C18F4478DE3CFC654781675" ma:contentTypeVersion="13" ma:contentTypeDescription="Umožňuje vytvoriť nový dokument." ma:contentTypeScope="" ma:versionID="29777a14c913a6cbb2840ffcc8816577">
  <xsd:schema xmlns:xsd="http://www.w3.org/2001/XMLSchema" xmlns:xs="http://www.w3.org/2001/XMLSchema" xmlns:p="http://schemas.microsoft.com/office/2006/metadata/properties" xmlns:ns3="2c5af817-32a7-4027-b3ce-7e6cea23d7c2" xmlns:ns4="0c503224-44a9-4fdb-af07-b5ba349b8fe9" targetNamespace="http://schemas.microsoft.com/office/2006/metadata/properties" ma:root="true" ma:fieldsID="506d35ad457ebc1a140754527ee15017" ns3:_="" ns4:_="">
    <xsd:import namespace="2c5af817-32a7-4027-b3ce-7e6cea23d7c2"/>
    <xsd:import namespace="0c503224-44a9-4fdb-af07-b5ba349b8f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af817-32a7-4027-b3ce-7e6cea23d7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03224-44a9-4fdb-af07-b5ba349b8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A46514-F3FA-4237-8DF8-563D023CDD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353B0C-F5DB-492A-A34A-D3F943EEC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af817-32a7-4027-b3ce-7e6cea23d7c2"/>
    <ds:schemaRef ds:uri="0c503224-44a9-4fdb-af07-b5ba349b8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F10B85-08C3-45E8-937D-09CD2EE4B0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Úvod</vt:lpstr>
      <vt:lpstr>FV</vt:lpstr>
      <vt:lpstr>FV - úlohy, povinné argumenty</vt:lpstr>
      <vt:lpstr>FV - úlohy, nepovinné argumenty</vt:lpstr>
      <vt:lpstr>Eulerovo číslo</vt:lpstr>
      <vt:lpstr>Rate</vt:lpstr>
      <vt:lpstr>Rate - Príklady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2020-03-28T11:46:51Z</dcterms:created>
  <dcterms:modified xsi:type="dcterms:W3CDTF">2023-11-14T06:40:27Z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0x010100AEDFA7B55C18F4478DE3CFC654781675</vt:lpwstr>
  </property>
  <property fmtid="{D5CDD505-2E9C-101B-9397-08002B2CF9AE}" pid="3" name="WorkbookGuid">
    <vt:lpwstr>5e9b6cc2-ff12-4be3-9008-7307d98bffd7</vt:lpwstr>
  </property>
</Properties>
</file>